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mishkina\Desktop\ИП 2025\Реконструкция\"/>
    </mc:Choice>
  </mc:AlternateContent>
  <xr:revisionPtr revIDLastSave="0" documentId="13_ncr:1_{B6D8C298-E60C-4DA7-ACD3-F16120CE4FCA}" xr6:coauthVersionLast="47" xr6:coauthVersionMax="47" xr10:uidLastSave="{00000000-0000-0000-0000-000000000000}"/>
  <bookViews>
    <workbookView xWindow="390" yWindow="390" windowWidth="28230" windowHeight="15600" xr2:uid="{F74720B0-6617-4B5E-8C18-E308F9AD2CAE}"/>
  </bookViews>
  <sheets>
    <sheet name="Смета по ФСНБ 421+557прРИМ" sheetId="7" r:id="rId1"/>
    <sheet name="Source" sheetId="1" r:id="rId2"/>
    <sheet name="SourceObSm" sheetId="2" r:id="rId3"/>
    <sheet name="SmtRes" sheetId="3" r:id="rId4"/>
    <sheet name="EtalonRes" sheetId="4" r:id="rId5"/>
    <sheet name="SrcPoprs" sheetId="5" r:id="rId6"/>
    <sheet name="SrcKA" sheetId="6" r:id="rId7"/>
  </sheets>
  <definedNames>
    <definedName name="_xlnm.Print_Titles" localSheetId="0">'Смета по ФСНБ 421+557прРИМ'!$52:$52</definedName>
    <definedName name="_xlnm.Print_Area" localSheetId="0">'Смета по ФСНБ 421+557прРИМ'!$A$1:$L$571</definedName>
  </definedNames>
  <calcPr calcId="191029" iterate="1"/>
</workbook>
</file>

<file path=xl/calcChain.xml><?xml version="1.0" encoding="utf-8"?>
<calcChain xmlns="http://schemas.openxmlformats.org/spreadsheetml/2006/main">
  <c r="L555" i="7" l="1"/>
  <c r="H569" i="7" l="1"/>
  <c r="H566" i="7"/>
  <c r="C569" i="7"/>
  <c r="C566" i="7"/>
  <c r="L558" i="7"/>
  <c r="L559" i="7" s="1"/>
  <c r="L560" i="7" s="1"/>
  <c r="C39" i="7" s="1"/>
  <c r="C555" i="7"/>
  <c r="L551" i="7"/>
  <c r="L550" i="7"/>
  <c r="L547" i="7"/>
  <c r="L546" i="7"/>
  <c r="L544" i="7" s="1"/>
  <c r="L540" i="7"/>
  <c r="L539" i="7"/>
  <c r="L535" i="7"/>
  <c r="L520" i="7"/>
  <c r="L519" i="7"/>
  <c r="L515" i="7"/>
  <c r="L504" i="7"/>
  <c r="L499" i="7"/>
  <c r="L498" i="7"/>
  <c r="L496" i="7" s="1"/>
  <c r="L491" i="7"/>
  <c r="L490" i="7"/>
  <c r="L486" i="7"/>
  <c r="L471" i="7"/>
  <c r="L470" i="7"/>
  <c r="L466" i="7"/>
  <c r="L449" i="7"/>
  <c r="L448" i="7"/>
  <c r="L445" i="7"/>
  <c r="L443" i="7"/>
  <c r="L442" i="7"/>
  <c r="L440" i="7" s="1"/>
  <c r="L436" i="7"/>
  <c r="L435" i="7"/>
  <c r="L431" i="7"/>
  <c r="AW421" i="7"/>
  <c r="AT421" i="7"/>
  <c r="AO421" i="7"/>
  <c r="AE421" i="7"/>
  <c r="AD421" i="7"/>
  <c r="CB421" i="7"/>
  <c r="CC421" i="7"/>
  <c r="G420" i="7"/>
  <c r="E420" i="7"/>
  <c r="G419" i="7"/>
  <c r="E419" i="7"/>
  <c r="L416" i="7"/>
  <c r="J416" i="7"/>
  <c r="G416" i="7"/>
  <c r="L415" i="7"/>
  <c r="L414" i="7" s="1"/>
  <c r="J415" i="7"/>
  <c r="G415" i="7"/>
  <c r="C413" i="7"/>
  <c r="E412" i="7"/>
  <c r="G412" i="7"/>
  <c r="D412" i="7"/>
  <c r="C412" i="7"/>
  <c r="AW411" i="7"/>
  <c r="AT411" i="7"/>
  <c r="AO411" i="7"/>
  <c r="AE411" i="7"/>
  <c r="AD411" i="7"/>
  <c r="CB411" i="7"/>
  <c r="CC411" i="7"/>
  <c r="G410" i="7"/>
  <c r="E410" i="7"/>
  <c r="G409" i="7"/>
  <c r="E409" i="7"/>
  <c r="L406" i="7"/>
  <c r="J406" i="7"/>
  <c r="G406" i="7"/>
  <c r="L405" i="7"/>
  <c r="L404" i="7" s="1"/>
  <c r="J405" i="7"/>
  <c r="G405" i="7"/>
  <c r="E403" i="7"/>
  <c r="G403" i="7"/>
  <c r="D403" i="7"/>
  <c r="C403" i="7"/>
  <c r="AW402" i="7"/>
  <c r="AT402" i="7"/>
  <c r="AO402" i="7"/>
  <c r="AE402" i="7"/>
  <c r="AD402" i="7"/>
  <c r="CB402" i="7"/>
  <c r="CC402" i="7"/>
  <c r="G401" i="7"/>
  <c r="E401" i="7"/>
  <c r="G400" i="7"/>
  <c r="E400" i="7"/>
  <c r="L397" i="7"/>
  <c r="J397" i="7"/>
  <c r="G397" i="7"/>
  <c r="L396" i="7"/>
  <c r="L395" i="7" s="1"/>
  <c r="J396" i="7"/>
  <c r="G396" i="7"/>
  <c r="E394" i="7"/>
  <c r="G394" i="7"/>
  <c r="D394" i="7"/>
  <c r="C394" i="7"/>
  <c r="AW393" i="7"/>
  <c r="AT393" i="7"/>
  <c r="AO393" i="7"/>
  <c r="AE393" i="7"/>
  <c r="AD393" i="7"/>
  <c r="CB393" i="7"/>
  <c r="CC393" i="7"/>
  <c r="G392" i="7"/>
  <c r="E392" i="7"/>
  <c r="G391" i="7"/>
  <c r="E391" i="7"/>
  <c r="L388" i="7"/>
  <c r="J388" i="7"/>
  <c r="G388" i="7"/>
  <c r="L387" i="7"/>
  <c r="L386" i="7" s="1"/>
  <c r="J387" i="7"/>
  <c r="G387" i="7"/>
  <c r="E385" i="7"/>
  <c r="G385" i="7"/>
  <c r="D385" i="7"/>
  <c r="C385" i="7"/>
  <c r="G381" i="7"/>
  <c r="G380" i="7"/>
  <c r="L379" i="7"/>
  <c r="L378" i="7"/>
  <c r="L375" i="7"/>
  <c r="L373" i="7"/>
  <c r="L372" i="7"/>
  <c r="L370" i="7" s="1"/>
  <c r="L366" i="7"/>
  <c r="L365" i="7"/>
  <c r="L361" i="7"/>
  <c r="AT351" i="7"/>
  <c r="AR351" i="7"/>
  <c r="AO351" i="7"/>
  <c r="BA351" i="7"/>
  <c r="AZ351" i="7"/>
  <c r="AE351" i="7"/>
  <c r="AD351" i="7"/>
  <c r="C350" i="7"/>
  <c r="L349" i="7"/>
  <c r="I349" i="7"/>
  <c r="H349" i="7"/>
  <c r="J349" i="7" s="1"/>
  <c r="E349" i="7"/>
  <c r="G349" i="7"/>
  <c r="D349" i="7"/>
  <c r="C349" i="7"/>
  <c r="B349" i="7"/>
  <c r="AT348" i="7"/>
  <c r="AR348" i="7"/>
  <c r="AO348" i="7"/>
  <c r="BA348" i="7"/>
  <c r="AZ348" i="7"/>
  <c r="AE348" i="7"/>
  <c r="AD348" i="7"/>
  <c r="L347" i="7"/>
  <c r="I347" i="7"/>
  <c r="H347" i="7"/>
  <c r="J347" i="7" s="1"/>
  <c r="E347" i="7"/>
  <c r="G347" i="7"/>
  <c r="D347" i="7"/>
  <c r="C347" i="7"/>
  <c r="B347" i="7"/>
  <c r="AT346" i="7"/>
  <c r="AR346" i="7"/>
  <c r="AO346" i="7"/>
  <c r="BA346" i="7"/>
  <c r="AZ346" i="7"/>
  <c r="AE346" i="7"/>
  <c r="AD346" i="7"/>
  <c r="L345" i="7"/>
  <c r="I345" i="7"/>
  <c r="H345" i="7"/>
  <c r="J345" i="7" s="1"/>
  <c r="E345" i="7"/>
  <c r="G345" i="7"/>
  <c r="D345" i="7"/>
  <c r="C345" i="7"/>
  <c r="B345" i="7"/>
  <c r="AT344" i="7"/>
  <c r="AR344" i="7"/>
  <c r="AO344" i="7"/>
  <c r="BA344" i="7"/>
  <c r="AZ344" i="7"/>
  <c r="AE344" i="7"/>
  <c r="AD344" i="7"/>
  <c r="L343" i="7"/>
  <c r="I343" i="7"/>
  <c r="H343" i="7"/>
  <c r="J343" i="7" s="1"/>
  <c r="E343" i="7"/>
  <c r="G343" i="7"/>
  <c r="D343" i="7"/>
  <c r="C343" i="7"/>
  <c r="B343" i="7"/>
  <c r="AT342" i="7"/>
  <c r="L360" i="7" s="1"/>
  <c r="AR342" i="7"/>
  <c r="AO342" i="7"/>
  <c r="L358" i="7" s="1"/>
  <c r="L356" i="7" s="1"/>
  <c r="BA342" i="7"/>
  <c r="L369" i="7" s="1"/>
  <c r="AZ342" i="7"/>
  <c r="L368" i="7" s="1"/>
  <c r="AE342" i="7"/>
  <c r="AD342" i="7"/>
  <c r="C341" i="7"/>
  <c r="L340" i="7"/>
  <c r="I340" i="7"/>
  <c r="H340" i="7"/>
  <c r="J340" i="7" s="1"/>
  <c r="E340" i="7"/>
  <c r="G340" i="7"/>
  <c r="D340" i="7"/>
  <c r="C340" i="7"/>
  <c r="B340" i="7"/>
  <c r="L334" i="7"/>
  <c r="L333" i="7"/>
  <c r="L330" i="7"/>
  <c r="L328" i="7"/>
  <c r="L327" i="7"/>
  <c r="L325" i="7" s="1"/>
  <c r="L321" i="7"/>
  <c r="L320" i="7"/>
  <c r="L316" i="7"/>
  <c r="AT306" i="7"/>
  <c r="AO306" i="7"/>
  <c r="AE306" i="7"/>
  <c r="AD306" i="7"/>
  <c r="G305" i="7"/>
  <c r="E305" i="7"/>
  <c r="G304" i="7"/>
  <c r="E304" i="7"/>
  <c r="L301" i="7"/>
  <c r="I301" i="7"/>
  <c r="H301" i="7"/>
  <c r="J301" i="7" s="1"/>
  <c r="G301" i="7"/>
  <c r="L300" i="7"/>
  <c r="J300" i="7"/>
  <c r="G300" i="7"/>
  <c r="L299" i="7"/>
  <c r="L298" i="7" s="1"/>
  <c r="AW306" i="7" s="1"/>
  <c r="I299" i="7"/>
  <c r="H299" i="7"/>
  <c r="J299" i="7" s="1"/>
  <c r="G299" i="7"/>
  <c r="L297" i="7"/>
  <c r="L296" i="7" s="1"/>
  <c r="J297" i="7"/>
  <c r="G297" i="7"/>
  <c r="E295" i="7"/>
  <c r="G295" i="7"/>
  <c r="D295" i="7"/>
  <c r="C295" i="7"/>
  <c r="AE294" i="7"/>
  <c r="AD294" i="7"/>
  <c r="G293" i="7"/>
  <c r="E293" i="7"/>
  <c r="G292" i="7"/>
  <c r="E292" i="7"/>
  <c r="L289" i="7"/>
  <c r="AW294" i="7" s="1"/>
  <c r="L288" i="7"/>
  <c r="L286" i="7" s="1"/>
  <c r="J288" i="7"/>
  <c r="G288" i="7"/>
  <c r="E288" i="7"/>
  <c r="L287" i="7"/>
  <c r="I287" i="7"/>
  <c r="H287" i="7"/>
  <c r="J287" i="7" s="1"/>
  <c r="G287" i="7"/>
  <c r="L284" i="7"/>
  <c r="L283" i="7" s="1"/>
  <c r="J284" i="7"/>
  <c r="G284" i="7"/>
  <c r="C282" i="7"/>
  <c r="E281" i="7"/>
  <c r="G281" i="7"/>
  <c r="D281" i="7"/>
  <c r="C281" i="7"/>
  <c r="AE280" i="7"/>
  <c r="AD280" i="7"/>
  <c r="G279" i="7"/>
  <c r="E279" i="7"/>
  <c r="G278" i="7"/>
  <c r="E278" i="7"/>
  <c r="L275" i="7"/>
  <c r="I275" i="7"/>
  <c r="H275" i="7"/>
  <c r="J275" i="7" s="1"/>
  <c r="G275" i="7"/>
  <c r="L274" i="7"/>
  <c r="I274" i="7"/>
  <c r="H274" i="7"/>
  <c r="J274" i="7" s="1"/>
  <c r="G274" i="7"/>
  <c r="L273" i="7"/>
  <c r="I273" i="7"/>
  <c r="H273" i="7"/>
  <c r="J273" i="7" s="1"/>
  <c r="G273" i="7"/>
  <c r="L272" i="7"/>
  <c r="L271" i="7" s="1"/>
  <c r="AW280" i="7" s="1"/>
  <c r="I272" i="7"/>
  <c r="H272" i="7"/>
  <c r="J272" i="7" s="1"/>
  <c r="G272" i="7"/>
  <c r="L270" i="7"/>
  <c r="J270" i="7"/>
  <c r="G270" i="7"/>
  <c r="E270" i="7"/>
  <c r="L269" i="7"/>
  <c r="I269" i="7"/>
  <c r="H269" i="7"/>
  <c r="J269" i="7" s="1"/>
  <c r="G269" i="7"/>
  <c r="L268" i="7"/>
  <c r="L266" i="7" s="1"/>
  <c r="J268" i="7"/>
  <c r="G268" i="7"/>
  <c r="E268" i="7"/>
  <c r="L267" i="7"/>
  <c r="J267" i="7"/>
  <c r="G267" i="7"/>
  <c r="L264" i="7"/>
  <c r="L263" i="7" s="1"/>
  <c r="J264" i="7"/>
  <c r="G264" i="7"/>
  <c r="E262" i="7"/>
  <c r="G262" i="7"/>
  <c r="D262" i="7"/>
  <c r="C262" i="7"/>
  <c r="AE261" i="7"/>
  <c r="AD261" i="7"/>
  <c r="G260" i="7"/>
  <c r="E260" i="7"/>
  <c r="G259" i="7"/>
  <c r="E259" i="7"/>
  <c r="L256" i="7"/>
  <c r="I256" i="7"/>
  <c r="H256" i="7"/>
  <c r="J256" i="7" s="1"/>
  <c r="G256" i="7"/>
  <c r="L255" i="7"/>
  <c r="I255" i="7"/>
  <c r="H255" i="7"/>
  <c r="J255" i="7" s="1"/>
  <c r="G255" i="7"/>
  <c r="L254" i="7"/>
  <c r="J254" i="7"/>
  <c r="G254" i="7"/>
  <c r="L253" i="7"/>
  <c r="I253" i="7"/>
  <c r="H253" i="7"/>
  <c r="J253" i="7" s="1"/>
  <c r="G253" i="7"/>
  <c r="L252" i="7"/>
  <c r="L251" i="7" s="1"/>
  <c r="AW261" i="7" s="1"/>
  <c r="I252" i="7"/>
  <c r="H252" i="7"/>
  <c r="J252" i="7" s="1"/>
  <c r="G252" i="7"/>
  <c r="L250" i="7"/>
  <c r="J250" i="7"/>
  <c r="G250" i="7"/>
  <c r="E250" i="7"/>
  <c r="L249" i="7"/>
  <c r="I249" i="7"/>
  <c r="H249" i="7"/>
  <c r="J249" i="7" s="1"/>
  <c r="G249" i="7"/>
  <c r="L248" i="7"/>
  <c r="I248" i="7"/>
  <c r="H248" i="7"/>
  <c r="J248" i="7" s="1"/>
  <c r="G248" i="7"/>
  <c r="L247" i="7"/>
  <c r="I247" i="7"/>
  <c r="H247" i="7"/>
  <c r="J247" i="7" s="1"/>
  <c r="G247" i="7"/>
  <c r="L246" i="7"/>
  <c r="L244" i="7" s="1"/>
  <c r="J246" i="7"/>
  <c r="G246" i="7"/>
  <c r="E246" i="7"/>
  <c r="L245" i="7"/>
  <c r="J245" i="7"/>
  <c r="G245" i="7"/>
  <c r="L242" i="7"/>
  <c r="L241" i="7" s="1"/>
  <c r="J242" i="7"/>
  <c r="G242" i="7"/>
  <c r="C240" i="7"/>
  <c r="E239" i="7"/>
  <c r="G239" i="7"/>
  <c r="D239" i="7"/>
  <c r="C239" i="7"/>
  <c r="AE238" i="7"/>
  <c r="AD238" i="7"/>
  <c r="G237" i="7"/>
  <c r="E237" i="7"/>
  <c r="G236" i="7"/>
  <c r="E236" i="7"/>
  <c r="L233" i="7"/>
  <c r="AW238" i="7" s="1"/>
  <c r="L232" i="7"/>
  <c r="L230" i="7" s="1"/>
  <c r="J232" i="7"/>
  <c r="G232" i="7"/>
  <c r="E232" i="7"/>
  <c r="L231" i="7"/>
  <c r="I231" i="7"/>
  <c r="H231" i="7"/>
  <c r="J231" i="7" s="1"/>
  <c r="G231" i="7"/>
  <c r="L228" i="7"/>
  <c r="L227" i="7" s="1"/>
  <c r="J228" i="7"/>
  <c r="G228" i="7"/>
  <c r="C226" i="7"/>
  <c r="E225" i="7"/>
  <c r="G225" i="7"/>
  <c r="D225" i="7"/>
  <c r="C225" i="7"/>
  <c r="AW224" i="7"/>
  <c r="L319" i="7" s="1"/>
  <c r="L317" i="7" s="1"/>
  <c r="AE224" i="7"/>
  <c r="AD224" i="7"/>
  <c r="G223" i="7"/>
  <c r="E223" i="7"/>
  <c r="G222" i="7"/>
  <c r="E222" i="7"/>
  <c r="L219" i="7"/>
  <c r="L217" i="7" s="1"/>
  <c r="J219" i="7"/>
  <c r="G219" i="7"/>
  <c r="E219" i="7"/>
  <c r="L218" i="7"/>
  <c r="I218" i="7"/>
  <c r="H218" i="7"/>
  <c r="J218" i="7" s="1"/>
  <c r="G218" i="7"/>
  <c r="L215" i="7"/>
  <c r="L214" i="7" s="1"/>
  <c r="J215" i="7"/>
  <c r="G215" i="7"/>
  <c r="C213" i="7"/>
  <c r="E212" i="7"/>
  <c r="G212" i="7"/>
  <c r="D212" i="7"/>
  <c r="C212" i="7"/>
  <c r="L206" i="7"/>
  <c r="L205" i="7"/>
  <c r="L202" i="7"/>
  <c r="L200" i="7"/>
  <c r="L199" i="7"/>
  <c r="L197" i="7" s="1"/>
  <c r="L193" i="7"/>
  <c r="L192" i="7"/>
  <c r="L188" i="7"/>
  <c r="AE178" i="7"/>
  <c r="AD178" i="7"/>
  <c r="G177" i="7"/>
  <c r="E177" i="7"/>
  <c r="G176" i="7"/>
  <c r="E176" i="7"/>
  <c r="L173" i="7"/>
  <c r="I173" i="7"/>
  <c r="H173" i="7"/>
  <c r="J173" i="7" s="1"/>
  <c r="G173" i="7"/>
  <c r="F173" i="7"/>
  <c r="L172" i="7"/>
  <c r="I172" i="7"/>
  <c r="H172" i="7"/>
  <c r="J172" i="7" s="1"/>
  <c r="G172" i="7"/>
  <c r="F172" i="7"/>
  <c r="L171" i="7"/>
  <c r="I171" i="7"/>
  <c r="H171" i="7"/>
  <c r="J171" i="7" s="1"/>
  <c r="G171" i="7"/>
  <c r="F171" i="7"/>
  <c r="L170" i="7"/>
  <c r="L169" i="7" s="1"/>
  <c r="AW178" i="7" s="1"/>
  <c r="I170" i="7"/>
  <c r="H170" i="7"/>
  <c r="J170" i="7" s="1"/>
  <c r="G170" i="7"/>
  <c r="F170" i="7"/>
  <c r="L168" i="7"/>
  <c r="J168" i="7"/>
  <c r="G168" i="7"/>
  <c r="F168" i="7"/>
  <c r="E168" i="7"/>
  <c r="L167" i="7"/>
  <c r="I167" i="7"/>
  <c r="H167" i="7"/>
  <c r="J167" i="7" s="1"/>
  <c r="G167" i="7"/>
  <c r="F167" i="7"/>
  <c r="L166" i="7"/>
  <c r="L164" i="7" s="1"/>
  <c r="J166" i="7"/>
  <c r="G166" i="7"/>
  <c r="F166" i="7"/>
  <c r="E166" i="7"/>
  <c r="L165" i="7"/>
  <c r="J165" i="7"/>
  <c r="G165" i="7"/>
  <c r="F165" i="7"/>
  <c r="L162" i="7"/>
  <c r="L161" i="7" s="1"/>
  <c r="J162" i="7"/>
  <c r="G162" i="7"/>
  <c r="F162" i="7"/>
  <c r="E159" i="7"/>
  <c r="G159" i="7"/>
  <c r="D159" i="7"/>
  <c r="C159" i="7"/>
  <c r="AE158" i="7"/>
  <c r="AD158" i="7"/>
  <c r="G157" i="7"/>
  <c r="E157" i="7"/>
  <c r="G156" i="7"/>
  <c r="E156" i="7"/>
  <c r="L153" i="7"/>
  <c r="I153" i="7"/>
  <c r="H153" i="7"/>
  <c r="J153" i="7" s="1"/>
  <c r="G153" i="7"/>
  <c r="F153" i="7"/>
  <c r="L152" i="7"/>
  <c r="I152" i="7"/>
  <c r="H152" i="7"/>
  <c r="J152" i="7" s="1"/>
  <c r="G152" i="7"/>
  <c r="F152" i="7"/>
  <c r="L151" i="7"/>
  <c r="J151" i="7"/>
  <c r="G151" i="7"/>
  <c r="F151" i="7"/>
  <c r="L150" i="7"/>
  <c r="I150" i="7"/>
  <c r="H150" i="7"/>
  <c r="J150" i="7" s="1"/>
  <c r="G150" i="7"/>
  <c r="F150" i="7"/>
  <c r="L149" i="7"/>
  <c r="L148" i="7" s="1"/>
  <c r="AW158" i="7" s="1"/>
  <c r="I149" i="7"/>
  <c r="H149" i="7"/>
  <c r="J149" i="7" s="1"/>
  <c r="G149" i="7"/>
  <c r="F149" i="7"/>
  <c r="L147" i="7"/>
  <c r="J147" i="7"/>
  <c r="G147" i="7"/>
  <c r="F147" i="7"/>
  <c r="E147" i="7"/>
  <c r="L146" i="7"/>
  <c r="I146" i="7"/>
  <c r="H146" i="7"/>
  <c r="J146" i="7" s="1"/>
  <c r="G146" i="7"/>
  <c r="F146" i="7"/>
  <c r="L145" i="7"/>
  <c r="I145" i="7"/>
  <c r="H145" i="7"/>
  <c r="J145" i="7" s="1"/>
  <c r="G145" i="7"/>
  <c r="F145" i="7"/>
  <c r="L144" i="7"/>
  <c r="I144" i="7"/>
  <c r="H144" i="7"/>
  <c r="J144" i="7" s="1"/>
  <c r="G144" i="7"/>
  <c r="F144" i="7"/>
  <c r="L143" i="7"/>
  <c r="L141" i="7" s="1"/>
  <c r="J143" i="7"/>
  <c r="G143" i="7"/>
  <c r="F143" i="7"/>
  <c r="E143" i="7"/>
  <c r="L142" i="7"/>
  <c r="J142" i="7"/>
  <c r="G142" i="7"/>
  <c r="F142" i="7"/>
  <c r="L139" i="7"/>
  <c r="L138" i="7" s="1"/>
  <c r="J139" i="7"/>
  <c r="G139" i="7"/>
  <c r="F139" i="7"/>
  <c r="C137" i="7"/>
  <c r="E135" i="7"/>
  <c r="G135" i="7"/>
  <c r="D135" i="7"/>
  <c r="C135" i="7"/>
  <c r="L129" i="7"/>
  <c r="L128" i="7"/>
  <c r="L125" i="7"/>
  <c r="L123" i="7"/>
  <c r="L122" i="7"/>
  <c r="L120" i="7" s="1"/>
  <c r="L116" i="7"/>
  <c r="L115" i="7"/>
  <c r="L111" i="7"/>
  <c r="AE101" i="7"/>
  <c r="AD101" i="7"/>
  <c r="G100" i="7"/>
  <c r="E100" i="7"/>
  <c r="G99" i="7"/>
  <c r="E99" i="7"/>
  <c r="BA97" i="7"/>
  <c r="AZ97" i="7"/>
  <c r="AE97" i="7"/>
  <c r="AD97" i="7"/>
  <c r="L97" i="7"/>
  <c r="I97" i="7"/>
  <c r="H97" i="7"/>
  <c r="J97" i="7" s="1"/>
  <c r="E97" i="7"/>
  <c r="G97" i="7"/>
  <c r="D97" i="7"/>
  <c r="C97" i="7"/>
  <c r="B97" i="7"/>
  <c r="L95" i="7"/>
  <c r="L94" i="7" s="1"/>
  <c r="AW101" i="7" s="1"/>
  <c r="I95" i="7"/>
  <c r="H95" i="7"/>
  <c r="J95" i="7" s="1"/>
  <c r="G95" i="7"/>
  <c r="L93" i="7"/>
  <c r="L91" i="7" s="1"/>
  <c r="J93" i="7"/>
  <c r="G93" i="7"/>
  <c r="E93" i="7"/>
  <c r="L92" i="7"/>
  <c r="I92" i="7"/>
  <c r="H92" i="7"/>
  <c r="J92" i="7" s="1"/>
  <c r="G92" i="7"/>
  <c r="L89" i="7"/>
  <c r="J89" i="7"/>
  <c r="G89" i="7"/>
  <c r="L88" i="7"/>
  <c r="L87" i="7" s="1"/>
  <c r="J88" i="7"/>
  <c r="G88" i="7"/>
  <c r="C86" i="7"/>
  <c r="E85" i="7"/>
  <c r="G85" i="7"/>
  <c r="D85" i="7"/>
  <c r="C85" i="7"/>
  <c r="AW84" i="7"/>
  <c r="AT84" i="7"/>
  <c r="AO84" i="7"/>
  <c r="AE84" i="7"/>
  <c r="AD84" i="7"/>
  <c r="G83" i="7"/>
  <c r="E83" i="7"/>
  <c r="G82" i="7"/>
  <c r="E82" i="7"/>
  <c r="BA80" i="7"/>
  <c r="AZ80" i="7"/>
  <c r="AE80" i="7"/>
  <c r="AD80" i="7"/>
  <c r="L80" i="7"/>
  <c r="I80" i="7"/>
  <c r="H80" i="7"/>
  <c r="J80" i="7" s="1"/>
  <c r="E80" i="7"/>
  <c r="G80" i="7"/>
  <c r="D80" i="7"/>
  <c r="C80" i="7"/>
  <c r="B80" i="7"/>
  <c r="L78" i="7"/>
  <c r="L77" i="7" s="1"/>
  <c r="J78" i="7"/>
  <c r="G78" i="7"/>
  <c r="C76" i="7"/>
  <c r="E75" i="7"/>
  <c r="G75" i="7"/>
  <c r="D75" i="7"/>
  <c r="C75" i="7"/>
  <c r="AW74" i="7"/>
  <c r="AT74" i="7"/>
  <c r="AO74" i="7"/>
  <c r="AE74" i="7"/>
  <c r="AD74" i="7"/>
  <c r="G73" i="7"/>
  <c r="E73" i="7"/>
  <c r="G72" i="7"/>
  <c r="E72" i="7"/>
  <c r="L69" i="7"/>
  <c r="L68" i="7" s="1"/>
  <c r="J69" i="7"/>
  <c r="G69" i="7"/>
  <c r="F69" i="7"/>
  <c r="C67" i="7"/>
  <c r="E65" i="7"/>
  <c r="G65" i="7"/>
  <c r="D65" i="7"/>
  <c r="C65" i="7"/>
  <c r="AW64" i="7"/>
  <c r="AT64" i="7"/>
  <c r="AO64" i="7"/>
  <c r="AE64" i="7"/>
  <c r="AD64" i="7"/>
  <c r="G63" i="7"/>
  <c r="E63" i="7"/>
  <c r="G62" i="7"/>
  <c r="E62" i="7"/>
  <c r="L59" i="7"/>
  <c r="L58" i="7" s="1"/>
  <c r="J59" i="7"/>
  <c r="G59" i="7"/>
  <c r="F59" i="7"/>
  <c r="C57" i="7"/>
  <c r="E55" i="7"/>
  <c r="G55" i="7"/>
  <c r="D55" i="7"/>
  <c r="C55" i="7"/>
  <c r="CN28" i="7"/>
  <c r="A28" i="7"/>
  <c r="F16" i="7"/>
  <c r="F14" i="7"/>
  <c r="CO6" i="7"/>
  <c r="F6" i="7"/>
  <c r="F4" i="7"/>
  <c r="A1" i="7"/>
  <c r="A1" i="4"/>
  <c r="A2" i="4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1" i="3"/>
  <c r="Y1" i="3"/>
  <c r="CY1" i="3"/>
  <c r="CZ1" i="3"/>
  <c r="DA1" i="3"/>
  <c r="DB1" i="3"/>
  <c r="DC1" i="3"/>
  <c r="A2" i="3"/>
  <c r="Y2" i="3"/>
  <c r="CY2" i="3"/>
  <c r="CZ2" i="3"/>
  <c r="DA2" i="3"/>
  <c r="DB2" i="3"/>
  <c r="DC2" i="3"/>
  <c r="A3" i="3"/>
  <c r="Y3" i="3"/>
  <c r="CY3" i="3"/>
  <c r="CZ3" i="3"/>
  <c r="DA3" i="3"/>
  <c r="DB3" i="3"/>
  <c r="DC3" i="3"/>
  <c r="A4" i="3"/>
  <c r="Y4" i="3"/>
  <c r="CY4" i="3"/>
  <c r="CZ4" i="3"/>
  <c r="DA4" i="3"/>
  <c r="DB4" i="3"/>
  <c r="DC4" i="3"/>
  <c r="A5" i="3"/>
  <c r="Y5" i="3"/>
  <c r="CY5" i="3"/>
  <c r="CZ5" i="3"/>
  <c r="DA5" i="3"/>
  <c r="DB5" i="3"/>
  <c r="DC5" i="3"/>
  <c r="A6" i="3"/>
  <c r="Y6" i="3"/>
  <c r="CY6" i="3"/>
  <c r="CZ6" i="3"/>
  <c r="DA6" i="3"/>
  <c r="DB6" i="3"/>
  <c r="DC6" i="3"/>
  <c r="A7" i="3"/>
  <c r="Y7" i="3"/>
  <c r="CY7" i="3"/>
  <c r="CZ7" i="3"/>
  <c r="DA7" i="3"/>
  <c r="DB7" i="3"/>
  <c r="DC7" i="3"/>
  <c r="A8" i="3"/>
  <c r="Y8" i="3"/>
  <c r="CY8" i="3"/>
  <c r="CZ8" i="3"/>
  <c r="DA8" i="3"/>
  <c r="DB8" i="3"/>
  <c r="DC8" i="3"/>
  <c r="A9" i="3"/>
  <c r="Y9" i="3"/>
  <c r="CY9" i="3"/>
  <c r="CZ9" i="3"/>
  <c r="DA9" i="3"/>
  <c r="DB9" i="3"/>
  <c r="DC9" i="3"/>
  <c r="A10" i="3"/>
  <c r="Y10" i="3"/>
  <c r="CY10" i="3"/>
  <c r="CZ10" i="3"/>
  <c r="DA10" i="3"/>
  <c r="DB10" i="3"/>
  <c r="DC10" i="3"/>
  <c r="A11" i="3"/>
  <c r="Y11" i="3"/>
  <c r="CY11" i="3"/>
  <c r="CZ11" i="3"/>
  <c r="DA11" i="3"/>
  <c r="DB11" i="3"/>
  <c r="DC11" i="3"/>
  <c r="A12" i="3"/>
  <c r="Y12" i="3"/>
  <c r="CY12" i="3"/>
  <c r="CZ12" i="3"/>
  <c r="DA12" i="3"/>
  <c r="DB12" i="3"/>
  <c r="DC12" i="3"/>
  <c r="A13" i="3"/>
  <c r="Y13" i="3"/>
  <c r="CY13" i="3"/>
  <c r="CZ13" i="3"/>
  <c r="DA13" i="3"/>
  <c r="DB13" i="3"/>
  <c r="DC13" i="3"/>
  <c r="A14" i="3"/>
  <c r="Y14" i="3"/>
  <c r="CY14" i="3"/>
  <c r="CZ14" i="3"/>
  <c r="DA14" i="3"/>
  <c r="DB14" i="3"/>
  <c r="DC14" i="3"/>
  <c r="A15" i="3"/>
  <c r="Y15" i="3"/>
  <c r="CY15" i="3"/>
  <c r="CZ15" i="3"/>
  <c r="DA15" i="3"/>
  <c r="DB15" i="3"/>
  <c r="DC15" i="3"/>
  <c r="A16" i="3"/>
  <c r="Y16" i="3"/>
  <c r="CY16" i="3"/>
  <c r="CZ16" i="3"/>
  <c r="DA16" i="3"/>
  <c r="DB16" i="3"/>
  <c r="DC16" i="3"/>
  <c r="A17" i="3"/>
  <c r="Y17" i="3"/>
  <c r="CY17" i="3"/>
  <c r="CZ17" i="3"/>
  <c r="DA17" i="3"/>
  <c r="DB17" i="3"/>
  <c r="DC17" i="3"/>
  <c r="A18" i="3"/>
  <c r="Y18" i="3"/>
  <c r="CY18" i="3"/>
  <c r="CZ18" i="3"/>
  <c r="DA18" i="3"/>
  <c r="DB18" i="3"/>
  <c r="DC18" i="3"/>
  <c r="A19" i="3"/>
  <c r="Y19" i="3"/>
  <c r="CY19" i="3"/>
  <c r="CZ19" i="3"/>
  <c r="DA19" i="3"/>
  <c r="DB19" i="3"/>
  <c r="DC19" i="3"/>
  <c r="A20" i="3"/>
  <c r="Y20" i="3"/>
  <c r="CY20" i="3"/>
  <c r="CZ20" i="3"/>
  <c r="DA20" i="3"/>
  <c r="DB20" i="3"/>
  <c r="DC20" i="3"/>
  <c r="A21" i="3"/>
  <c r="Y21" i="3"/>
  <c r="CY21" i="3"/>
  <c r="CZ21" i="3"/>
  <c r="DA21" i="3"/>
  <c r="DB21" i="3"/>
  <c r="DC21" i="3"/>
  <c r="A22" i="3"/>
  <c r="Y22" i="3"/>
  <c r="CY22" i="3"/>
  <c r="CZ22" i="3"/>
  <c r="DA22" i="3"/>
  <c r="DB22" i="3"/>
  <c r="DC22" i="3"/>
  <c r="A23" i="3"/>
  <c r="Y23" i="3"/>
  <c r="CU23" i="3"/>
  <c r="CV23" i="3"/>
  <c r="CX23" i="3"/>
  <c r="CY23" i="3"/>
  <c r="CZ23" i="3"/>
  <c r="DA23" i="3"/>
  <c r="DB23" i="3"/>
  <c r="DC23" i="3"/>
  <c r="DF23" i="3"/>
  <c r="DG23" i="3"/>
  <c r="DH23" i="3"/>
  <c r="DI23" i="3"/>
  <c r="DJ23" i="3"/>
  <c r="A24" i="3"/>
  <c r="Y24" i="3"/>
  <c r="CX24" i="3"/>
  <c r="CY24" i="3"/>
  <c r="CZ24" i="3"/>
  <c r="DA24" i="3"/>
  <c r="DB24" i="3"/>
  <c r="DC24" i="3"/>
  <c r="DF24" i="3"/>
  <c r="DG24" i="3"/>
  <c r="DH24" i="3"/>
  <c r="DI24" i="3"/>
  <c r="DJ24" i="3"/>
  <c r="A25" i="3"/>
  <c r="Y25" i="3"/>
  <c r="CW25" i="3"/>
  <c r="CX25" i="3"/>
  <c r="CY25" i="3"/>
  <c r="CZ25" i="3"/>
  <c r="DA25" i="3"/>
  <c r="DB25" i="3"/>
  <c r="DC25" i="3"/>
  <c r="DF25" i="3"/>
  <c r="DG25" i="3"/>
  <c r="DH25" i="3"/>
  <c r="DI25" i="3"/>
  <c r="DJ25" i="3"/>
  <c r="A26" i="3"/>
  <c r="Y26" i="3"/>
  <c r="CW26" i="3"/>
  <c r="CX26" i="3"/>
  <c r="CY26" i="3"/>
  <c r="CZ26" i="3"/>
  <c r="DA26" i="3"/>
  <c r="DB26" i="3"/>
  <c r="DC26" i="3"/>
  <c r="DF26" i="3"/>
  <c r="DG26" i="3"/>
  <c r="DH26" i="3"/>
  <c r="DI26" i="3"/>
  <c r="DJ26" i="3"/>
  <c r="A27" i="3"/>
  <c r="Y27" i="3"/>
  <c r="CX27" i="3"/>
  <c r="CY27" i="3"/>
  <c r="CZ27" i="3"/>
  <c r="DA27" i="3"/>
  <c r="DB27" i="3"/>
  <c r="DC27" i="3"/>
  <c r="DF27" i="3"/>
  <c r="DG27" i="3"/>
  <c r="DH27" i="3"/>
  <c r="DI27" i="3"/>
  <c r="DJ27" i="3"/>
  <c r="A28" i="3"/>
  <c r="Y28" i="3"/>
  <c r="CX28" i="3"/>
  <c r="CY28" i="3"/>
  <c r="CZ28" i="3"/>
  <c r="DA28" i="3"/>
  <c r="DB28" i="3"/>
  <c r="DC28" i="3"/>
  <c r="DF28" i="3"/>
  <c r="DG28" i="3"/>
  <c r="DH28" i="3"/>
  <c r="DI28" i="3"/>
  <c r="DJ28" i="3"/>
  <c r="A29" i="3"/>
  <c r="Y29" i="3"/>
  <c r="CX29" i="3"/>
  <c r="CY29" i="3"/>
  <c r="CZ29" i="3"/>
  <c r="DA29" i="3"/>
  <c r="DB29" i="3"/>
  <c r="DC29" i="3"/>
  <c r="DF29" i="3"/>
  <c r="DG29" i="3"/>
  <c r="DH29" i="3"/>
  <c r="DI29" i="3"/>
  <c r="DJ29" i="3"/>
  <c r="A30" i="3"/>
  <c r="Y30" i="3"/>
  <c r="CX30" i="3"/>
  <c r="CY30" i="3"/>
  <c r="CZ30" i="3"/>
  <c r="DA30" i="3"/>
  <c r="DB30" i="3"/>
  <c r="DC30" i="3"/>
  <c r="DF30" i="3"/>
  <c r="DG30" i="3"/>
  <c r="DH30" i="3"/>
  <c r="DI30" i="3"/>
  <c r="DJ30" i="3"/>
  <c r="A31" i="3"/>
  <c r="Y31" i="3"/>
  <c r="CX31" i="3"/>
  <c r="CY31" i="3"/>
  <c r="CZ31" i="3"/>
  <c r="DA31" i="3"/>
  <c r="DB31" i="3"/>
  <c r="DC31" i="3"/>
  <c r="DF31" i="3"/>
  <c r="DG31" i="3"/>
  <c r="DH31" i="3"/>
  <c r="DI31" i="3"/>
  <c r="DJ31" i="3"/>
  <c r="A32" i="3"/>
  <c r="Y32" i="3"/>
  <c r="CY32" i="3"/>
  <c r="CZ32" i="3"/>
  <c r="DA32" i="3"/>
  <c r="DB32" i="3"/>
  <c r="DC32" i="3"/>
  <c r="A33" i="3"/>
  <c r="Y33" i="3"/>
  <c r="CY33" i="3"/>
  <c r="CZ33" i="3"/>
  <c r="DA33" i="3"/>
  <c r="DB33" i="3"/>
  <c r="DC33" i="3"/>
  <c r="A34" i="3"/>
  <c r="Y34" i="3"/>
  <c r="CY34" i="3"/>
  <c r="CZ34" i="3"/>
  <c r="DA34" i="3"/>
  <c r="DB34" i="3"/>
  <c r="DC34" i="3"/>
  <c r="A35" i="3"/>
  <c r="Y35" i="3"/>
  <c r="CY35" i="3"/>
  <c r="CZ35" i="3"/>
  <c r="DA35" i="3"/>
  <c r="DB35" i="3"/>
  <c r="DC35" i="3"/>
  <c r="A36" i="3"/>
  <c r="Y36" i="3"/>
  <c r="CY36" i="3"/>
  <c r="CZ36" i="3"/>
  <c r="DA36" i="3"/>
  <c r="DB36" i="3"/>
  <c r="DC36" i="3"/>
  <c r="A37" i="3"/>
  <c r="Y37" i="3"/>
  <c r="CY37" i="3"/>
  <c r="CZ37" i="3"/>
  <c r="DA37" i="3"/>
  <c r="DB37" i="3"/>
  <c r="DC37" i="3"/>
  <c r="A38" i="3"/>
  <c r="Y38" i="3"/>
  <c r="CY38" i="3"/>
  <c r="CZ38" i="3"/>
  <c r="DA38" i="3"/>
  <c r="DB38" i="3"/>
  <c r="DC38" i="3"/>
  <c r="A39" i="3"/>
  <c r="Y39" i="3"/>
  <c r="CY39" i="3"/>
  <c r="CZ39" i="3"/>
  <c r="DA39" i="3"/>
  <c r="DB39" i="3"/>
  <c r="DC39" i="3"/>
  <c r="A40" i="3"/>
  <c r="Y40" i="3"/>
  <c r="CY40" i="3"/>
  <c r="CZ40" i="3"/>
  <c r="DA40" i="3"/>
  <c r="DB40" i="3"/>
  <c r="DC40" i="3"/>
  <c r="A41" i="3"/>
  <c r="Y41" i="3"/>
  <c r="CY41" i="3"/>
  <c r="CZ41" i="3"/>
  <c r="DA41" i="3"/>
  <c r="DB41" i="3"/>
  <c r="DC41" i="3"/>
  <c r="A42" i="3"/>
  <c r="Y42" i="3"/>
  <c r="CY42" i="3"/>
  <c r="CZ42" i="3"/>
  <c r="DA42" i="3"/>
  <c r="DB42" i="3"/>
  <c r="DC42" i="3"/>
  <c r="A43" i="3"/>
  <c r="Y43" i="3"/>
  <c r="CY43" i="3"/>
  <c r="CZ43" i="3"/>
  <c r="DA43" i="3"/>
  <c r="DB43" i="3"/>
  <c r="DC43" i="3"/>
  <c r="A44" i="3"/>
  <c r="Y44" i="3"/>
  <c r="CY44" i="3"/>
  <c r="CZ44" i="3"/>
  <c r="DA44" i="3"/>
  <c r="DB44" i="3"/>
  <c r="DC44" i="3"/>
  <c r="A45" i="3"/>
  <c r="Y45" i="3"/>
  <c r="CY45" i="3"/>
  <c r="CZ45" i="3"/>
  <c r="DA45" i="3"/>
  <c r="DB45" i="3"/>
  <c r="DC45" i="3"/>
  <c r="A46" i="3"/>
  <c r="Y46" i="3"/>
  <c r="CY46" i="3"/>
  <c r="CZ46" i="3"/>
  <c r="DA46" i="3"/>
  <c r="DB46" i="3"/>
  <c r="DC46" i="3"/>
  <c r="A47" i="3"/>
  <c r="Y47" i="3"/>
  <c r="CY47" i="3"/>
  <c r="CZ47" i="3"/>
  <c r="DA47" i="3"/>
  <c r="DB47" i="3"/>
  <c r="DC47" i="3"/>
  <c r="A48" i="3"/>
  <c r="Y48" i="3"/>
  <c r="CY48" i="3"/>
  <c r="CZ48" i="3"/>
  <c r="DA48" i="3"/>
  <c r="DB48" i="3"/>
  <c r="DC48" i="3"/>
  <c r="A49" i="3"/>
  <c r="Y49" i="3"/>
  <c r="CY49" i="3"/>
  <c r="CZ49" i="3"/>
  <c r="DA49" i="3"/>
  <c r="DB49" i="3"/>
  <c r="DC49" i="3"/>
  <c r="A50" i="3"/>
  <c r="Y50" i="3"/>
  <c r="CY50" i="3"/>
  <c r="CZ50" i="3"/>
  <c r="DA50" i="3"/>
  <c r="DB50" i="3"/>
  <c r="DC50" i="3"/>
  <c r="A51" i="3"/>
  <c r="Y51" i="3"/>
  <c r="CU51" i="3"/>
  <c r="CV51" i="3"/>
  <c r="CX51" i="3"/>
  <c r="CY51" i="3"/>
  <c r="CZ51" i="3"/>
  <c r="DA51" i="3"/>
  <c r="DB51" i="3"/>
  <c r="DC51" i="3"/>
  <c r="DF51" i="3"/>
  <c r="DG51" i="3"/>
  <c r="DH51" i="3"/>
  <c r="DI51" i="3"/>
  <c r="DJ51" i="3"/>
  <c r="A52" i="3"/>
  <c r="Y52" i="3"/>
  <c r="CX52" i="3"/>
  <c r="CY52" i="3"/>
  <c r="CZ52" i="3"/>
  <c r="DA52" i="3"/>
  <c r="DB52" i="3"/>
  <c r="DC52" i="3"/>
  <c r="DF52" i="3"/>
  <c r="DG52" i="3"/>
  <c r="DH52" i="3"/>
  <c r="DI52" i="3"/>
  <c r="DJ52" i="3"/>
  <c r="A53" i="3"/>
  <c r="Y53" i="3"/>
  <c r="CW53" i="3"/>
  <c r="CX53" i="3"/>
  <c r="CY53" i="3"/>
  <c r="CZ53" i="3"/>
  <c r="DA53" i="3"/>
  <c r="DB53" i="3"/>
  <c r="DC53" i="3"/>
  <c r="DF53" i="3"/>
  <c r="DG53" i="3"/>
  <c r="DH53" i="3"/>
  <c r="DI53" i="3"/>
  <c r="DJ53" i="3"/>
  <c r="A54" i="3"/>
  <c r="Y54" i="3"/>
  <c r="CW54" i="3"/>
  <c r="CX54" i="3"/>
  <c r="CY54" i="3"/>
  <c r="CZ54" i="3"/>
  <c r="DA54" i="3"/>
  <c r="DB54" i="3"/>
  <c r="DC54" i="3"/>
  <c r="DF54" i="3"/>
  <c r="DG54" i="3"/>
  <c r="DH54" i="3"/>
  <c r="DI54" i="3"/>
  <c r="DJ54" i="3"/>
  <c r="A55" i="3"/>
  <c r="Y55" i="3"/>
  <c r="CX55" i="3"/>
  <c r="CY55" i="3"/>
  <c r="CZ55" i="3"/>
  <c r="DA55" i="3"/>
  <c r="DB55" i="3"/>
  <c r="DC55" i="3"/>
  <c r="DF55" i="3"/>
  <c r="DG55" i="3"/>
  <c r="DH55" i="3"/>
  <c r="DI55" i="3"/>
  <c r="DJ55" i="3"/>
  <c r="A56" i="3"/>
  <c r="Y56" i="3"/>
  <c r="CX56" i="3"/>
  <c r="CY56" i="3"/>
  <c r="CZ56" i="3"/>
  <c r="DA56" i="3"/>
  <c r="DB56" i="3"/>
  <c r="DC56" i="3"/>
  <c r="DF56" i="3"/>
  <c r="DG56" i="3"/>
  <c r="DH56" i="3"/>
  <c r="DI56" i="3"/>
  <c r="DJ56" i="3"/>
  <c r="A57" i="3"/>
  <c r="Y57" i="3"/>
  <c r="CX57" i="3"/>
  <c r="CY57" i="3"/>
  <c r="CZ57" i="3"/>
  <c r="DA57" i="3"/>
  <c r="DB57" i="3"/>
  <c r="DC57" i="3"/>
  <c r="DF57" i="3"/>
  <c r="DG57" i="3"/>
  <c r="DH57" i="3"/>
  <c r="DI57" i="3"/>
  <c r="DJ57" i="3"/>
  <c r="A58" i="3"/>
  <c r="Y58" i="3"/>
  <c r="CX58" i="3"/>
  <c r="CY58" i="3"/>
  <c r="CZ58" i="3"/>
  <c r="DA58" i="3"/>
  <c r="DB58" i="3"/>
  <c r="DC58" i="3"/>
  <c r="DF58" i="3"/>
  <c r="DG58" i="3"/>
  <c r="DH58" i="3"/>
  <c r="DI58" i="3"/>
  <c r="DJ58" i="3"/>
  <c r="A59" i="3"/>
  <c r="Y59" i="3"/>
  <c r="CX59" i="3"/>
  <c r="CY59" i="3"/>
  <c r="CZ59" i="3"/>
  <c r="DA59" i="3"/>
  <c r="DB59" i="3"/>
  <c r="DC59" i="3"/>
  <c r="DF59" i="3"/>
  <c r="DG59" i="3"/>
  <c r="DH59" i="3"/>
  <c r="DI59" i="3"/>
  <c r="DJ59" i="3"/>
  <c r="A60" i="3"/>
  <c r="Y60" i="3"/>
  <c r="CY60" i="3"/>
  <c r="CZ60" i="3"/>
  <c r="DA60" i="3"/>
  <c r="DB60" i="3"/>
  <c r="DC60" i="3"/>
  <c r="A61" i="3"/>
  <c r="Y61" i="3"/>
  <c r="CY61" i="3"/>
  <c r="CZ61" i="3"/>
  <c r="DA61" i="3"/>
  <c r="DB61" i="3"/>
  <c r="DC61" i="3"/>
  <c r="A62" i="3"/>
  <c r="Y62" i="3"/>
  <c r="CY62" i="3"/>
  <c r="CZ62" i="3"/>
  <c r="DA62" i="3"/>
  <c r="DB62" i="3"/>
  <c r="DC62" i="3"/>
  <c r="A63" i="3"/>
  <c r="Y63" i="3"/>
  <c r="CY63" i="3"/>
  <c r="CZ63" i="3"/>
  <c r="DA63" i="3"/>
  <c r="DB63" i="3"/>
  <c r="DC63" i="3"/>
  <c r="A64" i="3"/>
  <c r="Y64" i="3"/>
  <c r="CU64" i="3"/>
  <c r="CV64" i="3"/>
  <c r="CX64" i="3"/>
  <c r="CY64" i="3"/>
  <c r="CZ64" i="3"/>
  <c r="DA64" i="3"/>
  <c r="DB64" i="3"/>
  <c r="DC64" i="3"/>
  <c r="DF64" i="3"/>
  <c r="DG64" i="3"/>
  <c r="DH64" i="3"/>
  <c r="DI64" i="3"/>
  <c r="DJ64" i="3"/>
  <c r="A65" i="3"/>
  <c r="Y65" i="3"/>
  <c r="CX65" i="3"/>
  <c r="CY65" i="3"/>
  <c r="CZ65" i="3"/>
  <c r="DA65" i="3"/>
  <c r="DB65" i="3"/>
  <c r="DC65" i="3"/>
  <c r="DF65" i="3"/>
  <c r="DG65" i="3"/>
  <c r="DH65" i="3"/>
  <c r="DI65" i="3"/>
  <c r="DJ65" i="3"/>
  <c r="A66" i="3"/>
  <c r="Y66" i="3"/>
  <c r="CX66" i="3"/>
  <c r="CY66" i="3"/>
  <c r="CZ66" i="3"/>
  <c r="DA66" i="3"/>
  <c r="DB66" i="3"/>
  <c r="DC66" i="3"/>
  <c r="DF66" i="3"/>
  <c r="DG66" i="3"/>
  <c r="DH66" i="3"/>
  <c r="DI66" i="3"/>
  <c r="DJ66" i="3"/>
  <c r="A67" i="3"/>
  <c r="Y67" i="3"/>
  <c r="CX67" i="3"/>
  <c r="CY67" i="3"/>
  <c r="CZ67" i="3"/>
  <c r="DA67" i="3"/>
  <c r="DB67" i="3"/>
  <c r="DC67" i="3"/>
  <c r="DF67" i="3"/>
  <c r="DG67" i="3"/>
  <c r="DH67" i="3"/>
  <c r="DI67" i="3"/>
  <c r="DJ67" i="3"/>
  <c r="A68" i="3"/>
  <c r="Y68" i="3"/>
  <c r="CU68" i="3"/>
  <c r="CV68" i="3"/>
  <c r="CX68" i="3"/>
  <c r="CY68" i="3"/>
  <c r="CZ68" i="3"/>
  <c r="DA68" i="3"/>
  <c r="DB68" i="3"/>
  <c r="DC68" i="3"/>
  <c r="DF68" i="3"/>
  <c r="DG68" i="3"/>
  <c r="DH68" i="3"/>
  <c r="DI68" i="3"/>
  <c r="DJ68" i="3"/>
  <c r="A69" i="3"/>
  <c r="Y69" i="3"/>
  <c r="CU69" i="3"/>
  <c r="CV69" i="3"/>
  <c r="CX69" i="3"/>
  <c r="CY69" i="3"/>
  <c r="CZ69" i="3"/>
  <c r="DA69" i="3"/>
  <c r="DB69" i="3"/>
  <c r="DC69" i="3"/>
  <c r="DF69" i="3"/>
  <c r="DG69" i="3"/>
  <c r="DH69" i="3"/>
  <c r="DI69" i="3"/>
  <c r="DJ69" i="3"/>
  <c r="A70" i="3"/>
  <c r="Y70" i="3"/>
  <c r="CU70" i="3"/>
  <c r="CV70" i="3"/>
  <c r="CX70" i="3"/>
  <c r="CY70" i="3"/>
  <c r="CZ70" i="3"/>
  <c r="DA70" i="3"/>
  <c r="DB70" i="3"/>
  <c r="DC70" i="3"/>
  <c r="DF70" i="3"/>
  <c r="DG70" i="3"/>
  <c r="DH70" i="3"/>
  <c r="DI70" i="3"/>
  <c r="DJ70" i="3"/>
  <c r="A71" i="3"/>
  <c r="Y71" i="3"/>
  <c r="CU71" i="3"/>
  <c r="CV71" i="3"/>
  <c r="CX71" i="3"/>
  <c r="CY71" i="3"/>
  <c r="CZ71" i="3"/>
  <c r="DA71" i="3"/>
  <c r="DB71" i="3"/>
  <c r="DC71" i="3"/>
  <c r="DF71" i="3"/>
  <c r="DG71" i="3"/>
  <c r="DH71" i="3"/>
  <c r="DI71" i="3"/>
  <c r="DJ71" i="3"/>
  <c r="A72" i="3"/>
  <c r="Y72" i="3"/>
  <c r="CU72" i="3"/>
  <c r="CV72" i="3"/>
  <c r="CX72" i="3"/>
  <c r="CY72" i="3"/>
  <c r="CZ72" i="3"/>
  <c r="DA72" i="3"/>
  <c r="DB72" i="3"/>
  <c r="DC72" i="3"/>
  <c r="DF72" i="3"/>
  <c r="DG72" i="3"/>
  <c r="DH72" i="3"/>
  <c r="DI72" i="3"/>
  <c r="DJ72" i="3"/>
  <c r="A73" i="3"/>
  <c r="Y73" i="3"/>
  <c r="CU73" i="3"/>
  <c r="CV73" i="3"/>
  <c r="CX73" i="3"/>
  <c r="CY73" i="3"/>
  <c r="CZ73" i="3"/>
  <c r="DA73" i="3"/>
  <c r="DB73" i="3"/>
  <c r="DC73" i="3"/>
  <c r="DF73" i="3"/>
  <c r="DG73" i="3"/>
  <c r="DH73" i="3"/>
  <c r="DI73" i="3"/>
  <c r="DJ73" i="3"/>
  <c r="A74" i="3"/>
  <c r="Y74" i="3"/>
  <c r="CY74" i="3"/>
  <c r="CZ74" i="3"/>
  <c r="DA74" i="3"/>
  <c r="DB74" i="3"/>
  <c r="DC74" i="3"/>
  <c r="A75" i="3"/>
  <c r="Y75" i="3"/>
  <c r="CY75" i="3"/>
  <c r="CZ75" i="3"/>
  <c r="DA75" i="3"/>
  <c r="DB75" i="3"/>
  <c r="DC75" i="3"/>
  <c r="D12" i="1"/>
  <c r="E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BT18" i="1"/>
  <c r="BU18" i="1"/>
  <c r="BV18" i="1"/>
  <c r="BW18" i="1"/>
  <c r="BX18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W18" i="1"/>
  <c r="CX18" i="1"/>
  <c r="CY18" i="1"/>
  <c r="CZ18" i="1"/>
  <c r="DA18" i="1"/>
  <c r="DB18" i="1"/>
  <c r="DC18" i="1"/>
  <c r="DD18" i="1"/>
  <c r="DE18" i="1"/>
  <c r="DF18" i="1"/>
  <c r="DG18" i="1"/>
  <c r="DH18" i="1"/>
  <c r="DI18" i="1"/>
  <c r="DJ18" i="1"/>
  <c r="DK18" i="1"/>
  <c r="DL18" i="1"/>
  <c r="DM18" i="1"/>
  <c r="DN18" i="1"/>
  <c r="DO18" i="1"/>
  <c r="DP18" i="1"/>
  <c r="DQ18" i="1"/>
  <c r="DR18" i="1"/>
  <c r="DS18" i="1"/>
  <c r="DT18" i="1"/>
  <c r="DU18" i="1"/>
  <c r="DV18" i="1"/>
  <c r="DW18" i="1"/>
  <c r="DX18" i="1"/>
  <c r="DY18" i="1"/>
  <c r="DZ18" i="1"/>
  <c r="EA18" i="1"/>
  <c r="EB18" i="1"/>
  <c r="EC18" i="1"/>
  <c r="ED18" i="1"/>
  <c r="EE18" i="1"/>
  <c r="EF18" i="1"/>
  <c r="EG18" i="1"/>
  <c r="EH18" i="1"/>
  <c r="EI18" i="1"/>
  <c r="EJ18" i="1"/>
  <c r="EK18" i="1"/>
  <c r="EL18" i="1"/>
  <c r="EM18" i="1"/>
  <c r="EN18" i="1"/>
  <c r="EO18" i="1"/>
  <c r="EP18" i="1"/>
  <c r="EQ18" i="1"/>
  <c r="ER18" i="1"/>
  <c r="ES18" i="1"/>
  <c r="ET18" i="1"/>
  <c r="EU18" i="1"/>
  <c r="EV18" i="1"/>
  <c r="EW18" i="1"/>
  <c r="EX18" i="1"/>
  <c r="EY18" i="1"/>
  <c r="EZ18" i="1"/>
  <c r="FA18" i="1"/>
  <c r="FB18" i="1"/>
  <c r="FC18" i="1"/>
  <c r="FD18" i="1"/>
  <c r="FE18" i="1"/>
  <c r="FF18" i="1"/>
  <c r="FG18" i="1"/>
  <c r="FH18" i="1"/>
  <c r="FI18" i="1"/>
  <c r="FJ18" i="1"/>
  <c r="FK18" i="1"/>
  <c r="FL18" i="1"/>
  <c r="FM18" i="1"/>
  <c r="FN18" i="1"/>
  <c r="FO18" i="1"/>
  <c r="FP18" i="1"/>
  <c r="FQ18" i="1"/>
  <c r="FR18" i="1"/>
  <c r="FS18" i="1"/>
  <c r="FT18" i="1"/>
  <c r="FU18" i="1"/>
  <c r="FV18" i="1"/>
  <c r="FW18" i="1"/>
  <c r="FX18" i="1"/>
  <c r="FY18" i="1"/>
  <c r="FZ18" i="1"/>
  <c r="GA18" i="1"/>
  <c r="GB18" i="1"/>
  <c r="GC18" i="1"/>
  <c r="GD18" i="1"/>
  <c r="GE18" i="1"/>
  <c r="GF18" i="1"/>
  <c r="GG18" i="1"/>
  <c r="GH18" i="1"/>
  <c r="GI18" i="1"/>
  <c r="GJ18" i="1"/>
  <c r="GK18" i="1"/>
  <c r="GL18" i="1"/>
  <c r="GM18" i="1"/>
  <c r="GN18" i="1"/>
  <c r="GO18" i="1"/>
  <c r="GP18" i="1"/>
  <c r="GQ18" i="1"/>
  <c r="GR18" i="1"/>
  <c r="GS18" i="1"/>
  <c r="GT18" i="1"/>
  <c r="GU18" i="1"/>
  <c r="GV18" i="1"/>
  <c r="GW18" i="1"/>
  <c r="GX18" i="1"/>
  <c r="D20" i="1"/>
  <c r="E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BX22" i="1"/>
  <c r="BY22" i="1"/>
  <c r="BZ22" i="1"/>
  <c r="CA22" i="1"/>
  <c r="CB22" i="1"/>
  <c r="CC22" i="1"/>
  <c r="CD22" i="1"/>
  <c r="CE22" i="1"/>
  <c r="CF22" i="1"/>
  <c r="CG22" i="1"/>
  <c r="CH22" i="1"/>
  <c r="CI22" i="1"/>
  <c r="CJ22" i="1"/>
  <c r="CK22" i="1"/>
  <c r="CL22" i="1"/>
  <c r="CM22" i="1"/>
  <c r="CN22" i="1"/>
  <c r="CO22" i="1"/>
  <c r="CP22" i="1"/>
  <c r="CQ22" i="1"/>
  <c r="CR22" i="1"/>
  <c r="CS22" i="1"/>
  <c r="CT22" i="1"/>
  <c r="CU22" i="1"/>
  <c r="CV22" i="1"/>
  <c r="CW22" i="1"/>
  <c r="CX22" i="1"/>
  <c r="CY22" i="1"/>
  <c r="CZ22" i="1"/>
  <c r="DA22" i="1"/>
  <c r="DB22" i="1"/>
  <c r="DC22" i="1"/>
  <c r="DD22" i="1"/>
  <c r="DE22" i="1"/>
  <c r="DF22" i="1"/>
  <c r="DG22" i="1"/>
  <c r="DH22" i="1"/>
  <c r="DI22" i="1"/>
  <c r="DJ22" i="1"/>
  <c r="DK22" i="1"/>
  <c r="DL22" i="1"/>
  <c r="DM22" i="1"/>
  <c r="DN22" i="1"/>
  <c r="DO22" i="1"/>
  <c r="DP22" i="1"/>
  <c r="DQ22" i="1"/>
  <c r="DR22" i="1"/>
  <c r="DS22" i="1"/>
  <c r="DT22" i="1"/>
  <c r="DU22" i="1"/>
  <c r="DV22" i="1"/>
  <c r="DW22" i="1"/>
  <c r="DX22" i="1"/>
  <c r="DY22" i="1"/>
  <c r="DZ22" i="1"/>
  <c r="EA22" i="1"/>
  <c r="EB22" i="1"/>
  <c r="EC22" i="1"/>
  <c r="ED22" i="1"/>
  <c r="EE22" i="1"/>
  <c r="EF22" i="1"/>
  <c r="EG22" i="1"/>
  <c r="EH22" i="1"/>
  <c r="EI22" i="1"/>
  <c r="EJ22" i="1"/>
  <c r="EK22" i="1"/>
  <c r="EL22" i="1"/>
  <c r="EM22" i="1"/>
  <c r="EN22" i="1"/>
  <c r="EO22" i="1"/>
  <c r="EP22" i="1"/>
  <c r="EQ22" i="1"/>
  <c r="ER22" i="1"/>
  <c r="ES22" i="1"/>
  <c r="ET22" i="1"/>
  <c r="EU22" i="1"/>
  <c r="EV22" i="1"/>
  <c r="EW22" i="1"/>
  <c r="EX22" i="1"/>
  <c r="EY22" i="1"/>
  <c r="EZ22" i="1"/>
  <c r="FA22" i="1"/>
  <c r="FB22" i="1"/>
  <c r="FC22" i="1"/>
  <c r="FD22" i="1"/>
  <c r="FE22" i="1"/>
  <c r="FF22" i="1"/>
  <c r="FG22" i="1"/>
  <c r="FH22" i="1"/>
  <c r="FI22" i="1"/>
  <c r="FJ22" i="1"/>
  <c r="FK22" i="1"/>
  <c r="FL22" i="1"/>
  <c r="FM22" i="1"/>
  <c r="FN22" i="1"/>
  <c r="FO22" i="1"/>
  <c r="FP22" i="1"/>
  <c r="FQ22" i="1"/>
  <c r="FR22" i="1"/>
  <c r="FS22" i="1"/>
  <c r="FT22" i="1"/>
  <c r="FU22" i="1"/>
  <c r="FV22" i="1"/>
  <c r="FW22" i="1"/>
  <c r="FX22" i="1"/>
  <c r="FY22" i="1"/>
  <c r="FZ22" i="1"/>
  <c r="GA22" i="1"/>
  <c r="GB22" i="1"/>
  <c r="GC22" i="1"/>
  <c r="GD22" i="1"/>
  <c r="GE22" i="1"/>
  <c r="GF22" i="1"/>
  <c r="GG22" i="1"/>
  <c r="GH22" i="1"/>
  <c r="GI22" i="1"/>
  <c r="GJ22" i="1"/>
  <c r="GK22" i="1"/>
  <c r="GL22" i="1"/>
  <c r="GM22" i="1"/>
  <c r="GN22" i="1"/>
  <c r="GO22" i="1"/>
  <c r="GP22" i="1"/>
  <c r="GQ22" i="1"/>
  <c r="GR22" i="1"/>
  <c r="GS22" i="1"/>
  <c r="GT22" i="1"/>
  <c r="GU22" i="1"/>
  <c r="GV22" i="1"/>
  <c r="GW22" i="1"/>
  <c r="GX22" i="1"/>
  <c r="B24" i="1"/>
  <c r="B22" i="1" s="1"/>
  <c r="C24" i="1"/>
  <c r="C22" i="1" s="1"/>
  <c r="D24" i="1"/>
  <c r="D22" i="1" s="1"/>
  <c r="F24" i="1"/>
  <c r="F22" i="1" s="1"/>
  <c r="G24" i="1"/>
  <c r="G22" i="1" s="1"/>
  <c r="O24" i="1"/>
  <c r="O22" i="1" s="1"/>
  <c r="P24" i="1"/>
  <c r="P22" i="1" s="1"/>
  <c r="Q24" i="1"/>
  <c r="Q22" i="1" s="1"/>
  <c r="R24" i="1"/>
  <c r="R22" i="1" s="1"/>
  <c r="S24" i="1"/>
  <c r="S22" i="1" s="1"/>
  <c r="T24" i="1"/>
  <c r="T22" i="1" s="1"/>
  <c r="U24" i="1"/>
  <c r="U22" i="1" s="1"/>
  <c r="V24" i="1"/>
  <c r="V22" i="1" s="1"/>
  <c r="W24" i="1"/>
  <c r="W22" i="1" s="1"/>
  <c r="X24" i="1"/>
  <c r="X22" i="1" s="1"/>
  <c r="Y24" i="1"/>
  <c r="Y22" i="1" s="1"/>
  <c r="AO24" i="1"/>
  <c r="AO22" i="1" s="1"/>
  <c r="AP24" i="1"/>
  <c r="AP22" i="1" s="1"/>
  <c r="AQ24" i="1"/>
  <c r="AQ22" i="1" s="1"/>
  <c r="AR24" i="1"/>
  <c r="AR22" i="1" s="1"/>
  <c r="AS24" i="1"/>
  <c r="AS22" i="1" s="1"/>
  <c r="AT24" i="1"/>
  <c r="AT22" i="1" s="1"/>
  <c r="AU24" i="1"/>
  <c r="AU22" i="1" s="1"/>
  <c r="AV24" i="1"/>
  <c r="AV22" i="1" s="1"/>
  <c r="AW24" i="1"/>
  <c r="AW22" i="1" s="1"/>
  <c r="AX24" i="1"/>
  <c r="AX22" i="1" s="1"/>
  <c r="AY24" i="1"/>
  <c r="AY22" i="1" s="1"/>
  <c r="AZ24" i="1"/>
  <c r="AZ22" i="1" s="1"/>
  <c r="BA24" i="1"/>
  <c r="BA22" i="1" s="1"/>
  <c r="BB24" i="1"/>
  <c r="BB22" i="1" s="1"/>
  <c r="BC24" i="1"/>
  <c r="BC22" i="1" s="1"/>
  <c r="BD24" i="1"/>
  <c r="BD22" i="1" s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D54" i="1"/>
  <c r="E56" i="1"/>
  <c r="Z56" i="1"/>
  <c r="AA56" i="1"/>
  <c r="AB56" i="1"/>
  <c r="AC56" i="1"/>
  <c r="AD56" i="1"/>
  <c r="AE56" i="1"/>
  <c r="AF56" i="1"/>
  <c r="AG56" i="1"/>
  <c r="AH56" i="1"/>
  <c r="AI56" i="1"/>
  <c r="AJ56" i="1"/>
  <c r="AK56" i="1"/>
  <c r="AL56" i="1"/>
  <c r="AM56" i="1"/>
  <c r="AN56" i="1"/>
  <c r="BE56" i="1"/>
  <c r="BF56" i="1"/>
  <c r="BG56" i="1"/>
  <c r="BH56" i="1"/>
  <c r="BI56" i="1"/>
  <c r="BJ56" i="1"/>
  <c r="BK56" i="1"/>
  <c r="BL56" i="1"/>
  <c r="BM56" i="1"/>
  <c r="BN56" i="1"/>
  <c r="BO56" i="1"/>
  <c r="BP56" i="1"/>
  <c r="BQ56" i="1"/>
  <c r="BR56" i="1"/>
  <c r="BS56" i="1"/>
  <c r="BT56" i="1"/>
  <c r="BU56" i="1"/>
  <c r="BV56" i="1"/>
  <c r="BW56" i="1"/>
  <c r="BX56" i="1"/>
  <c r="BY56" i="1"/>
  <c r="BZ56" i="1"/>
  <c r="CA56" i="1"/>
  <c r="CB56" i="1"/>
  <c r="CC56" i="1"/>
  <c r="CD56" i="1"/>
  <c r="CE56" i="1"/>
  <c r="CF56" i="1"/>
  <c r="CG56" i="1"/>
  <c r="CH56" i="1"/>
  <c r="CI56" i="1"/>
  <c r="CJ56" i="1"/>
  <c r="CK56" i="1"/>
  <c r="CL56" i="1"/>
  <c r="CM56" i="1"/>
  <c r="CN56" i="1"/>
  <c r="CO56" i="1"/>
  <c r="CP56" i="1"/>
  <c r="CQ56" i="1"/>
  <c r="CR56" i="1"/>
  <c r="CS56" i="1"/>
  <c r="CT56" i="1"/>
  <c r="CU56" i="1"/>
  <c r="CV56" i="1"/>
  <c r="CW56" i="1"/>
  <c r="CX56" i="1"/>
  <c r="CY56" i="1"/>
  <c r="CZ56" i="1"/>
  <c r="DA56" i="1"/>
  <c r="DB56" i="1"/>
  <c r="DC56" i="1"/>
  <c r="DD56" i="1"/>
  <c r="DE56" i="1"/>
  <c r="DF56" i="1"/>
  <c r="DG56" i="1"/>
  <c r="DH56" i="1"/>
  <c r="DI56" i="1"/>
  <c r="DJ56" i="1"/>
  <c r="DK56" i="1"/>
  <c r="DL56" i="1"/>
  <c r="DM56" i="1"/>
  <c r="DN56" i="1"/>
  <c r="DO56" i="1"/>
  <c r="DP56" i="1"/>
  <c r="DQ56" i="1"/>
  <c r="DR56" i="1"/>
  <c r="DS56" i="1"/>
  <c r="DT56" i="1"/>
  <c r="DU56" i="1"/>
  <c r="DV56" i="1"/>
  <c r="DW56" i="1"/>
  <c r="DX56" i="1"/>
  <c r="DY56" i="1"/>
  <c r="DZ56" i="1"/>
  <c r="EA56" i="1"/>
  <c r="EB56" i="1"/>
  <c r="EC56" i="1"/>
  <c r="ED56" i="1"/>
  <c r="EE56" i="1"/>
  <c r="EF56" i="1"/>
  <c r="EG56" i="1"/>
  <c r="EH56" i="1"/>
  <c r="EI56" i="1"/>
  <c r="EJ56" i="1"/>
  <c r="EK56" i="1"/>
  <c r="EL56" i="1"/>
  <c r="EM56" i="1"/>
  <c r="EN56" i="1"/>
  <c r="EO56" i="1"/>
  <c r="EP56" i="1"/>
  <c r="EQ56" i="1"/>
  <c r="ER56" i="1"/>
  <c r="ES56" i="1"/>
  <c r="ET56" i="1"/>
  <c r="EU56" i="1"/>
  <c r="EV56" i="1"/>
  <c r="EW56" i="1"/>
  <c r="EX56" i="1"/>
  <c r="EY56" i="1"/>
  <c r="EZ56" i="1"/>
  <c r="FA56" i="1"/>
  <c r="FB56" i="1"/>
  <c r="FC56" i="1"/>
  <c r="FD56" i="1"/>
  <c r="FE56" i="1"/>
  <c r="FF56" i="1"/>
  <c r="FG56" i="1"/>
  <c r="FH56" i="1"/>
  <c r="FI56" i="1"/>
  <c r="FJ56" i="1"/>
  <c r="FK56" i="1"/>
  <c r="FL56" i="1"/>
  <c r="FM56" i="1"/>
  <c r="FN56" i="1"/>
  <c r="FO56" i="1"/>
  <c r="FP56" i="1"/>
  <c r="FQ56" i="1"/>
  <c r="FR56" i="1"/>
  <c r="FS56" i="1"/>
  <c r="FT56" i="1"/>
  <c r="FU56" i="1"/>
  <c r="FV56" i="1"/>
  <c r="FW56" i="1"/>
  <c r="FX56" i="1"/>
  <c r="FY56" i="1"/>
  <c r="FZ56" i="1"/>
  <c r="GA56" i="1"/>
  <c r="GB56" i="1"/>
  <c r="GC56" i="1"/>
  <c r="GD56" i="1"/>
  <c r="GE56" i="1"/>
  <c r="GF56" i="1"/>
  <c r="GG56" i="1"/>
  <c r="GH56" i="1"/>
  <c r="GI56" i="1"/>
  <c r="GJ56" i="1"/>
  <c r="GK56" i="1"/>
  <c r="GL56" i="1"/>
  <c r="GM56" i="1"/>
  <c r="GN56" i="1"/>
  <c r="GO56" i="1"/>
  <c r="GP56" i="1"/>
  <c r="GQ56" i="1"/>
  <c r="GR56" i="1"/>
  <c r="GS56" i="1"/>
  <c r="GT56" i="1"/>
  <c r="GU56" i="1"/>
  <c r="GV56" i="1"/>
  <c r="GW56" i="1"/>
  <c r="GX56" i="1"/>
  <c r="D58" i="1"/>
  <c r="E60" i="1"/>
  <c r="Z60" i="1"/>
  <c r="AA60" i="1"/>
  <c r="AM60" i="1"/>
  <c r="AN60" i="1"/>
  <c r="BE60" i="1"/>
  <c r="BF60" i="1"/>
  <c r="BG60" i="1"/>
  <c r="BH60" i="1"/>
  <c r="BI60" i="1"/>
  <c r="BJ60" i="1"/>
  <c r="BK60" i="1"/>
  <c r="BL60" i="1"/>
  <c r="BM60" i="1"/>
  <c r="BN60" i="1"/>
  <c r="BO60" i="1"/>
  <c r="BP60" i="1"/>
  <c r="BQ60" i="1"/>
  <c r="BR60" i="1"/>
  <c r="BS60" i="1"/>
  <c r="BT60" i="1"/>
  <c r="BU60" i="1"/>
  <c r="BV60" i="1"/>
  <c r="BW60" i="1"/>
  <c r="CN60" i="1"/>
  <c r="CO60" i="1"/>
  <c r="CP60" i="1"/>
  <c r="CQ60" i="1"/>
  <c r="CR60" i="1"/>
  <c r="CS60" i="1"/>
  <c r="CT60" i="1"/>
  <c r="CU60" i="1"/>
  <c r="CV60" i="1"/>
  <c r="CW60" i="1"/>
  <c r="CX60" i="1"/>
  <c r="CY60" i="1"/>
  <c r="CZ60" i="1"/>
  <c r="DA60" i="1"/>
  <c r="DB60" i="1"/>
  <c r="DC60" i="1"/>
  <c r="DD60" i="1"/>
  <c r="DE60" i="1"/>
  <c r="DF60" i="1"/>
  <c r="DG60" i="1"/>
  <c r="DH60" i="1"/>
  <c r="DI60" i="1"/>
  <c r="DJ60" i="1"/>
  <c r="DK60" i="1"/>
  <c r="DL60" i="1"/>
  <c r="DM60" i="1"/>
  <c r="DN60" i="1"/>
  <c r="DO60" i="1"/>
  <c r="DP60" i="1"/>
  <c r="DQ60" i="1"/>
  <c r="DR60" i="1"/>
  <c r="DS60" i="1"/>
  <c r="DT60" i="1"/>
  <c r="DU60" i="1"/>
  <c r="DV60" i="1"/>
  <c r="DW60" i="1"/>
  <c r="DX60" i="1"/>
  <c r="DY60" i="1"/>
  <c r="DZ60" i="1"/>
  <c r="EA60" i="1"/>
  <c r="EB60" i="1"/>
  <c r="EC60" i="1"/>
  <c r="ED60" i="1"/>
  <c r="EE60" i="1"/>
  <c r="EF60" i="1"/>
  <c r="EG60" i="1"/>
  <c r="EH60" i="1"/>
  <c r="EI60" i="1"/>
  <c r="EJ60" i="1"/>
  <c r="EK60" i="1"/>
  <c r="EL60" i="1"/>
  <c r="EM60" i="1"/>
  <c r="EN60" i="1"/>
  <c r="EO60" i="1"/>
  <c r="EP60" i="1"/>
  <c r="EQ60" i="1"/>
  <c r="ER60" i="1"/>
  <c r="ES60" i="1"/>
  <c r="ET60" i="1"/>
  <c r="EU60" i="1"/>
  <c r="EV60" i="1"/>
  <c r="EW60" i="1"/>
  <c r="EX60" i="1"/>
  <c r="EY60" i="1"/>
  <c r="EZ60" i="1"/>
  <c r="FA60" i="1"/>
  <c r="FB60" i="1"/>
  <c r="FC60" i="1"/>
  <c r="FD60" i="1"/>
  <c r="FE60" i="1"/>
  <c r="FF60" i="1"/>
  <c r="FG60" i="1"/>
  <c r="FH60" i="1"/>
  <c r="FI60" i="1"/>
  <c r="FJ60" i="1"/>
  <c r="FK60" i="1"/>
  <c r="FL60" i="1"/>
  <c r="FM60" i="1"/>
  <c r="FN60" i="1"/>
  <c r="FO60" i="1"/>
  <c r="FP60" i="1"/>
  <c r="FQ60" i="1"/>
  <c r="FR60" i="1"/>
  <c r="FS60" i="1"/>
  <c r="FT60" i="1"/>
  <c r="FU60" i="1"/>
  <c r="FV60" i="1"/>
  <c r="FW60" i="1"/>
  <c r="FX60" i="1"/>
  <c r="FY60" i="1"/>
  <c r="FZ60" i="1"/>
  <c r="GA60" i="1"/>
  <c r="GB60" i="1"/>
  <c r="GC60" i="1"/>
  <c r="GD60" i="1"/>
  <c r="GE60" i="1"/>
  <c r="GF60" i="1"/>
  <c r="GG60" i="1"/>
  <c r="GH60" i="1"/>
  <c r="GI60" i="1"/>
  <c r="GJ60" i="1"/>
  <c r="GK60" i="1"/>
  <c r="GL60" i="1"/>
  <c r="GM60" i="1"/>
  <c r="GN60" i="1"/>
  <c r="GO60" i="1"/>
  <c r="GP60" i="1"/>
  <c r="GQ60" i="1"/>
  <c r="GR60" i="1"/>
  <c r="GS60" i="1"/>
  <c r="GT60" i="1"/>
  <c r="GU60" i="1"/>
  <c r="GV60" i="1"/>
  <c r="GW60" i="1"/>
  <c r="GX60" i="1"/>
  <c r="C62" i="1"/>
  <c r="D62" i="1"/>
  <c r="I62" i="1"/>
  <c r="K62" i="1"/>
  <c r="V62" i="1"/>
  <c r="AC62" i="1"/>
  <c r="AE62" i="1"/>
  <c r="AD62" i="1" s="1"/>
  <c r="AF62" i="1"/>
  <c r="AG62" i="1"/>
  <c r="AH62" i="1"/>
  <c r="AI62" i="1"/>
  <c r="AJ62" i="1"/>
  <c r="CQ62" i="1"/>
  <c r="CR62" i="1"/>
  <c r="CS62" i="1"/>
  <c r="CT62" i="1"/>
  <c r="CU62" i="1"/>
  <c r="T62" i="1" s="1"/>
  <c r="CV62" i="1"/>
  <c r="CW62" i="1"/>
  <c r="CX62" i="1"/>
  <c r="W62" i="1" s="1"/>
  <c r="FR62" i="1"/>
  <c r="GL62" i="1"/>
  <c r="GO62" i="1"/>
  <c r="GP62" i="1"/>
  <c r="GV62" i="1"/>
  <c r="HC62" i="1"/>
  <c r="GX62" i="1" s="1"/>
  <c r="C63" i="1"/>
  <c r="D63" i="1"/>
  <c r="I63" i="1"/>
  <c r="K63" i="1"/>
  <c r="V63" i="1"/>
  <c r="AC63" i="1"/>
  <c r="AE63" i="1"/>
  <c r="AD63" i="1" s="1"/>
  <c r="AF63" i="1"/>
  <c r="AG63" i="1"/>
  <c r="AH63" i="1"/>
  <c r="AI63" i="1"/>
  <c r="AJ63" i="1"/>
  <c r="CQ63" i="1"/>
  <c r="CR63" i="1"/>
  <c r="CS63" i="1"/>
  <c r="CT63" i="1"/>
  <c r="CU63" i="1"/>
  <c r="T63" i="1" s="1"/>
  <c r="CV63" i="1"/>
  <c r="CW63" i="1"/>
  <c r="CX63" i="1"/>
  <c r="W63" i="1" s="1"/>
  <c r="FR63" i="1"/>
  <c r="GL63" i="1"/>
  <c r="GO63" i="1"/>
  <c r="GP63" i="1"/>
  <c r="GV63" i="1"/>
  <c r="HC63" i="1"/>
  <c r="GX63" i="1" s="1"/>
  <c r="C64" i="1"/>
  <c r="D64" i="1"/>
  <c r="I64" i="1"/>
  <c r="K64" i="1"/>
  <c r="V64" i="1"/>
  <c r="AC64" i="1"/>
  <c r="AE64" i="1"/>
  <c r="AD64" i="1" s="1"/>
  <c r="AF64" i="1"/>
  <c r="AG64" i="1"/>
  <c r="AH64" i="1"/>
  <c r="AI64" i="1"/>
  <c r="AJ64" i="1"/>
  <c r="CQ64" i="1"/>
  <c r="CR64" i="1"/>
  <c r="CS64" i="1"/>
  <c r="CT64" i="1"/>
  <c r="CU64" i="1"/>
  <c r="T64" i="1" s="1"/>
  <c r="CV64" i="1"/>
  <c r="CW64" i="1"/>
  <c r="CX64" i="1"/>
  <c r="W64" i="1" s="1"/>
  <c r="FR64" i="1"/>
  <c r="GL64" i="1"/>
  <c r="GO64" i="1"/>
  <c r="GP64" i="1"/>
  <c r="GV64" i="1"/>
  <c r="HC64" i="1"/>
  <c r="GX64" i="1" s="1"/>
  <c r="I65" i="1"/>
  <c r="AC65" i="1"/>
  <c r="AE65" i="1"/>
  <c r="AD65" i="1" s="1"/>
  <c r="AF65" i="1"/>
  <c r="AG65" i="1"/>
  <c r="AH65" i="1"/>
  <c r="AI65" i="1"/>
  <c r="AJ65" i="1"/>
  <c r="CQ65" i="1"/>
  <c r="P65" i="1" s="1"/>
  <c r="CR65" i="1"/>
  <c r="Q65" i="1" s="1"/>
  <c r="CS65" i="1"/>
  <c r="R65" i="1" s="1"/>
  <c r="CT65" i="1"/>
  <c r="S65" i="1" s="1"/>
  <c r="CU65" i="1"/>
  <c r="T65" i="1" s="1"/>
  <c r="CV65" i="1"/>
  <c r="U65" i="1" s="1"/>
  <c r="CW65" i="1"/>
  <c r="V65" i="1" s="1"/>
  <c r="CX65" i="1"/>
  <c r="W65" i="1" s="1"/>
  <c r="CY65" i="1"/>
  <c r="X65" i="1" s="1"/>
  <c r="CZ65" i="1"/>
  <c r="Y65" i="1" s="1"/>
  <c r="FR65" i="1"/>
  <c r="GL65" i="1"/>
  <c r="GO65" i="1"/>
  <c r="GP65" i="1"/>
  <c r="GV65" i="1"/>
  <c r="HC65" i="1"/>
  <c r="GX65" i="1" s="1"/>
  <c r="C66" i="1"/>
  <c r="D66" i="1"/>
  <c r="I66" i="1"/>
  <c r="K66" i="1"/>
  <c r="AC66" i="1"/>
  <c r="AE66" i="1"/>
  <c r="AD66" i="1" s="1"/>
  <c r="AF66" i="1"/>
  <c r="AG66" i="1"/>
  <c r="AH66" i="1"/>
  <c r="AI66" i="1"/>
  <c r="AJ66" i="1"/>
  <c r="CQ66" i="1"/>
  <c r="CR66" i="1"/>
  <c r="CS66" i="1"/>
  <c r="CT66" i="1"/>
  <c r="CU66" i="1"/>
  <c r="T66" i="1" s="1"/>
  <c r="CV66" i="1"/>
  <c r="CW66" i="1"/>
  <c r="CX66" i="1"/>
  <c r="W66" i="1" s="1"/>
  <c r="FR66" i="1"/>
  <c r="GL66" i="1"/>
  <c r="GO66" i="1"/>
  <c r="GP66" i="1"/>
  <c r="GV66" i="1"/>
  <c r="HC66" i="1"/>
  <c r="GX66" i="1" s="1"/>
  <c r="I67" i="1"/>
  <c r="AC67" i="1"/>
  <c r="AE67" i="1"/>
  <c r="AD67" i="1" s="1"/>
  <c r="AF67" i="1"/>
  <c r="AG67" i="1"/>
  <c r="AH67" i="1"/>
  <c r="AI67" i="1"/>
  <c r="AJ67" i="1"/>
  <c r="CQ67" i="1"/>
  <c r="P67" i="1" s="1"/>
  <c r="CR67" i="1"/>
  <c r="Q67" i="1" s="1"/>
  <c r="CS67" i="1"/>
  <c r="R67" i="1" s="1"/>
  <c r="CT67" i="1"/>
  <c r="S67" i="1" s="1"/>
  <c r="CU67" i="1"/>
  <c r="T67" i="1" s="1"/>
  <c r="CV67" i="1"/>
  <c r="U67" i="1" s="1"/>
  <c r="CW67" i="1"/>
  <c r="V67" i="1" s="1"/>
  <c r="CX67" i="1"/>
  <c r="W67" i="1" s="1"/>
  <c r="CY67" i="1"/>
  <c r="X67" i="1" s="1"/>
  <c r="CZ67" i="1"/>
  <c r="Y67" i="1" s="1"/>
  <c r="FR67" i="1"/>
  <c r="GL67" i="1"/>
  <c r="GO67" i="1"/>
  <c r="GP67" i="1"/>
  <c r="GV67" i="1"/>
  <c r="HC67" i="1"/>
  <c r="GX67" i="1" s="1"/>
  <c r="B69" i="1"/>
  <c r="B60" i="1" s="1"/>
  <c r="C69" i="1"/>
  <c r="C60" i="1" s="1"/>
  <c r="D69" i="1"/>
  <c r="D60" i="1" s="1"/>
  <c r="F69" i="1"/>
  <c r="F60" i="1" s="1"/>
  <c r="G69" i="1"/>
  <c r="G60" i="1" s="1"/>
  <c r="AG69" i="1"/>
  <c r="AJ69" i="1"/>
  <c r="BX69" i="1"/>
  <c r="BY69" i="1"/>
  <c r="BZ69" i="1"/>
  <c r="CC69" i="1"/>
  <c r="CD69" i="1"/>
  <c r="CG69" i="1"/>
  <c r="CI69" i="1"/>
  <c r="CJ69" i="1"/>
  <c r="CK69" i="1"/>
  <c r="CL69" i="1"/>
  <c r="CM69" i="1"/>
  <c r="D99" i="1"/>
  <c r="E101" i="1"/>
  <c r="Z101" i="1"/>
  <c r="AA101" i="1"/>
  <c r="AM101" i="1"/>
  <c r="AN101" i="1"/>
  <c r="BE101" i="1"/>
  <c r="BF101" i="1"/>
  <c r="BG101" i="1"/>
  <c r="BH101" i="1"/>
  <c r="BI101" i="1"/>
  <c r="BJ101" i="1"/>
  <c r="BK101" i="1"/>
  <c r="BL101" i="1"/>
  <c r="BM101" i="1"/>
  <c r="BN101" i="1"/>
  <c r="BO101" i="1"/>
  <c r="BP101" i="1"/>
  <c r="BQ101" i="1"/>
  <c r="BR101" i="1"/>
  <c r="BS101" i="1"/>
  <c r="BT101" i="1"/>
  <c r="BU101" i="1"/>
  <c r="BV101" i="1"/>
  <c r="BW101" i="1"/>
  <c r="CN101" i="1"/>
  <c r="CO101" i="1"/>
  <c r="CP101" i="1"/>
  <c r="CQ101" i="1"/>
  <c r="CR101" i="1"/>
  <c r="CS101" i="1"/>
  <c r="CT101" i="1"/>
  <c r="CU101" i="1"/>
  <c r="CV101" i="1"/>
  <c r="CW101" i="1"/>
  <c r="CX101" i="1"/>
  <c r="CY101" i="1"/>
  <c r="CZ101" i="1"/>
  <c r="DA101" i="1"/>
  <c r="DB101" i="1"/>
  <c r="DC101" i="1"/>
  <c r="DD101" i="1"/>
  <c r="DE101" i="1"/>
  <c r="DF101" i="1"/>
  <c r="DG101" i="1"/>
  <c r="DH101" i="1"/>
  <c r="DI101" i="1"/>
  <c r="DJ101" i="1"/>
  <c r="DK101" i="1"/>
  <c r="DL101" i="1"/>
  <c r="DM101" i="1"/>
  <c r="DN101" i="1"/>
  <c r="DO101" i="1"/>
  <c r="DP101" i="1"/>
  <c r="DQ101" i="1"/>
  <c r="DR101" i="1"/>
  <c r="DS101" i="1"/>
  <c r="DT101" i="1"/>
  <c r="DU101" i="1"/>
  <c r="DV101" i="1"/>
  <c r="DW101" i="1"/>
  <c r="DX101" i="1"/>
  <c r="DY101" i="1"/>
  <c r="DZ101" i="1"/>
  <c r="EA101" i="1"/>
  <c r="EB101" i="1"/>
  <c r="EC101" i="1"/>
  <c r="ED101" i="1"/>
  <c r="EE101" i="1"/>
  <c r="EF101" i="1"/>
  <c r="EG101" i="1"/>
  <c r="EH101" i="1"/>
  <c r="EI101" i="1"/>
  <c r="EJ101" i="1"/>
  <c r="EK101" i="1"/>
  <c r="EL101" i="1"/>
  <c r="EM101" i="1"/>
  <c r="EN101" i="1"/>
  <c r="EO101" i="1"/>
  <c r="EP101" i="1"/>
  <c r="EQ101" i="1"/>
  <c r="ER101" i="1"/>
  <c r="ES101" i="1"/>
  <c r="ET101" i="1"/>
  <c r="EU101" i="1"/>
  <c r="EV101" i="1"/>
  <c r="EW101" i="1"/>
  <c r="EX101" i="1"/>
  <c r="EY101" i="1"/>
  <c r="EZ101" i="1"/>
  <c r="FA101" i="1"/>
  <c r="FB101" i="1"/>
  <c r="FC101" i="1"/>
  <c r="FD101" i="1"/>
  <c r="FE101" i="1"/>
  <c r="FF101" i="1"/>
  <c r="FG101" i="1"/>
  <c r="FH101" i="1"/>
  <c r="FI101" i="1"/>
  <c r="FJ101" i="1"/>
  <c r="FK101" i="1"/>
  <c r="FL101" i="1"/>
  <c r="FM101" i="1"/>
  <c r="FN101" i="1"/>
  <c r="FO101" i="1"/>
  <c r="FP101" i="1"/>
  <c r="FQ101" i="1"/>
  <c r="FR101" i="1"/>
  <c r="FS101" i="1"/>
  <c r="FT101" i="1"/>
  <c r="FU101" i="1"/>
  <c r="FV101" i="1"/>
  <c r="FW101" i="1"/>
  <c r="FX101" i="1"/>
  <c r="FY101" i="1"/>
  <c r="FZ101" i="1"/>
  <c r="GA101" i="1"/>
  <c r="GB101" i="1"/>
  <c r="GC101" i="1"/>
  <c r="GD101" i="1"/>
  <c r="GE101" i="1"/>
  <c r="GF101" i="1"/>
  <c r="GG101" i="1"/>
  <c r="GH101" i="1"/>
  <c r="GI101" i="1"/>
  <c r="GJ101" i="1"/>
  <c r="GK101" i="1"/>
  <c r="GL101" i="1"/>
  <c r="GM101" i="1"/>
  <c r="GN101" i="1"/>
  <c r="GO101" i="1"/>
  <c r="GP101" i="1"/>
  <c r="GQ101" i="1"/>
  <c r="GR101" i="1"/>
  <c r="GS101" i="1"/>
  <c r="GT101" i="1"/>
  <c r="GU101" i="1"/>
  <c r="GV101" i="1"/>
  <c r="GW101" i="1"/>
  <c r="GX101" i="1"/>
  <c r="C103" i="1"/>
  <c r="D103" i="1"/>
  <c r="I103" i="1"/>
  <c r="K103" i="1"/>
  <c r="AC103" i="1"/>
  <c r="AE103" i="1"/>
  <c r="AD103" i="1" s="1"/>
  <c r="AF103" i="1"/>
  <c r="AG103" i="1"/>
  <c r="AH103" i="1"/>
  <c r="AI103" i="1"/>
  <c r="AJ103" i="1"/>
  <c r="CQ103" i="1"/>
  <c r="CR103" i="1"/>
  <c r="CS103" i="1"/>
  <c r="CT103" i="1"/>
  <c r="CU103" i="1"/>
  <c r="T103" i="1" s="1"/>
  <c r="CV103" i="1"/>
  <c r="CW103" i="1"/>
  <c r="CX103" i="1"/>
  <c r="W103" i="1" s="1"/>
  <c r="FR103" i="1"/>
  <c r="GL103" i="1"/>
  <c r="GN103" i="1"/>
  <c r="GP103" i="1"/>
  <c r="GV103" i="1"/>
  <c r="HC103" i="1"/>
  <c r="GX103" i="1" s="1"/>
  <c r="C104" i="1"/>
  <c r="D104" i="1"/>
  <c r="P104" i="1"/>
  <c r="Q104" i="1"/>
  <c r="R104" i="1"/>
  <c r="S104" i="1"/>
  <c r="U104" i="1"/>
  <c r="G161" i="7" s="1"/>
  <c r="V104" i="1"/>
  <c r="G164" i="7" s="1"/>
  <c r="AC104" i="1"/>
  <c r="AE104" i="1"/>
  <c r="AD104" i="1" s="1"/>
  <c r="AF104" i="1"/>
  <c r="AG104" i="1"/>
  <c r="AH104" i="1"/>
  <c r="AI104" i="1"/>
  <c r="AJ104" i="1"/>
  <c r="CP104" i="1"/>
  <c r="O104" i="1" s="1"/>
  <c r="CQ104" i="1"/>
  <c r="CR104" i="1"/>
  <c r="CS104" i="1"/>
  <c r="CT104" i="1"/>
  <c r="CU104" i="1"/>
  <c r="T104" i="1" s="1"/>
  <c r="CV104" i="1"/>
  <c r="CW104" i="1"/>
  <c r="CX104" i="1"/>
  <c r="W104" i="1" s="1"/>
  <c r="CY104" i="1"/>
  <c r="X104" i="1" s="1"/>
  <c r="AZ178" i="7" s="1"/>
  <c r="L176" i="7" s="1"/>
  <c r="CZ104" i="1"/>
  <c r="Y104" i="1" s="1"/>
  <c r="BA178" i="7" s="1"/>
  <c r="L177" i="7" s="1"/>
  <c r="FR104" i="1"/>
  <c r="GL104" i="1"/>
  <c r="GN104" i="1"/>
  <c r="GP104" i="1"/>
  <c r="GV104" i="1"/>
  <c r="HC104" i="1"/>
  <c r="GX104" i="1" s="1"/>
  <c r="GM104" i="1" s="1"/>
  <c r="GO104" i="1" s="1"/>
  <c r="B106" i="1"/>
  <c r="B101" i="1" s="1"/>
  <c r="C106" i="1"/>
  <c r="C101" i="1" s="1"/>
  <c r="D106" i="1"/>
  <c r="D101" i="1" s="1"/>
  <c r="F106" i="1"/>
  <c r="F101" i="1" s="1"/>
  <c r="G106" i="1"/>
  <c r="G101" i="1" s="1"/>
  <c r="AG106" i="1"/>
  <c r="AJ106" i="1"/>
  <c r="BX106" i="1"/>
  <c r="BY106" i="1"/>
  <c r="BZ106" i="1"/>
  <c r="CB106" i="1"/>
  <c r="CD106" i="1"/>
  <c r="CG106" i="1"/>
  <c r="CI106" i="1"/>
  <c r="CJ106" i="1"/>
  <c r="CK106" i="1"/>
  <c r="CL106" i="1"/>
  <c r="CM106" i="1"/>
  <c r="D136" i="1"/>
  <c r="E138" i="1"/>
  <c r="Z138" i="1"/>
  <c r="AA138" i="1"/>
  <c r="AM138" i="1"/>
  <c r="AN138" i="1"/>
  <c r="BE138" i="1"/>
  <c r="BF138" i="1"/>
  <c r="BG138" i="1"/>
  <c r="BH138" i="1"/>
  <c r="BI138" i="1"/>
  <c r="BJ138" i="1"/>
  <c r="BK138" i="1"/>
  <c r="BL138" i="1"/>
  <c r="BM138" i="1"/>
  <c r="BN138" i="1"/>
  <c r="BO138" i="1"/>
  <c r="BP138" i="1"/>
  <c r="BQ138" i="1"/>
  <c r="BR138" i="1"/>
  <c r="BS138" i="1"/>
  <c r="BT138" i="1"/>
  <c r="BU138" i="1"/>
  <c r="BV138" i="1"/>
  <c r="BW138" i="1"/>
  <c r="CN138" i="1"/>
  <c r="CO138" i="1"/>
  <c r="CP138" i="1"/>
  <c r="CQ138" i="1"/>
  <c r="CR138" i="1"/>
  <c r="CS138" i="1"/>
  <c r="CT138" i="1"/>
  <c r="CU138" i="1"/>
  <c r="CV138" i="1"/>
  <c r="CW138" i="1"/>
  <c r="CX138" i="1"/>
  <c r="CY138" i="1"/>
  <c r="CZ138" i="1"/>
  <c r="DA138" i="1"/>
  <c r="DB138" i="1"/>
  <c r="DC138" i="1"/>
  <c r="DD138" i="1"/>
  <c r="DE138" i="1"/>
  <c r="DF138" i="1"/>
  <c r="DG138" i="1"/>
  <c r="DH138" i="1"/>
  <c r="DI138" i="1"/>
  <c r="DJ138" i="1"/>
  <c r="DK138" i="1"/>
  <c r="DL138" i="1"/>
  <c r="DM138" i="1"/>
  <c r="DN138" i="1"/>
  <c r="DO138" i="1"/>
  <c r="DP138" i="1"/>
  <c r="DQ138" i="1"/>
  <c r="DR138" i="1"/>
  <c r="DS138" i="1"/>
  <c r="DT138" i="1"/>
  <c r="DU138" i="1"/>
  <c r="DV138" i="1"/>
  <c r="DW138" i="1"/>
  <c r="DX138" i="1"/>
  <c r="DY138" i="1"/>
  <c r="DZ138" i="1"/>
  <c r="EA138" i="1"/>
  <c r="EB138" i="1"/>
  <c r="EC138" i="1"/>
  <c r="ED138" i="1"/>
  <c r="EE138" i="1"/>
  <c r="EF138" i="1"/>
  <c r="EG138" i="1"/>
  <c r="EH138" i="1"/>
  <c r="EI138" i="1"/>
  <c r="EJ138" i="1"/>
  <c r="EK138" i="1"/>
  <c r="EL138" i="1"/>
  <c r="EM138" i="1"/>
  <c r="EN138" i="1"/>
  <c r="EO138" i="1"/>
  <c r="EP138" i="1"/>
  <c r="EQ138" i="1"/>
  <c r="ER138" i="1"/>
  <c r="ES138" i="1"/>
  <c r="ET138" i="1"/>
  <c r="EU138" i="1"/>
  <c r="EV138" i="1"/>
  <c r="EW138" i="1"/>
  <c r="EX138" i="1"/>
  <c r="EY138" i="1"/>
  <c r="EZ138" i="1"/>
  <c r="FA138" i="1"/>
  <c r="FB138" i="1"/>
  <c r="FC138" i="1"/>
  <c r="FD138" i="1"/>
  <c r="FE138" i="1"/>
  <c r="FF138" i="1"/>
  <c r="FG138" i="1"/>
  <c r="FH138" i="1"/>
  <c r="FI138" i="1"/>
  <c r="FJ138" i="1"/>
  <c r="FK138" i="1"/>
  <c r="FL138" i="1"/>
  <c r="FM138" i="1"/>
  <c r="FN138" i="1"/>
  <c r="FO138" i="1"/>
  <c r="FP138" i="1"/>
  <c r="FQ138" i="1"/>
  <c r="FR138" i="1"/>
  <c r="FS138" i="1"/>
  <c r="FT138" i="1"/>
  <c r="FU138" i="1"/>
  <c r="FV138" i="1"/>
  <c r="FW138" i="1"/>
  <c r="FX138" i="1"/>
  <c r="FY138" i="1"/>
  <c r="FZ138" i="1"/>
  <c r="GA138" i="1"/>
  <c r="GB138" i="1"/>
  <c r="GC138" i="1"/>
  <c r="GD138" i="1"/>
  <c r="GE138" i="1"/>
  <c r="GF138" i="1"/>
  <c r="GG138" i="1"/>
  <c r="GH138" i="1"/>
  <c r="GI138" i="1"/>
  <c r="GJ138" i="1"/>
  <c r="GK138" i="1"/>
  <c r="GL138" i="1"/>
  <c r="GM138" i="1"/>
  <c r="GN138" i="1"/>
  <c r="GO138" i="1"/>
  <c r="GP138" i="1"/>
  <c r="GQ138" i="1"/>
  <c r="GR138" i="1"/>
  <c r="GS138" i="1"/>
  <c r="GT138" i="1"/>
  <c r="GU138" i="1"/>
  <c r="GV138" i="1"/>
  <c r="GW138" i="1"/>
  <c r="GX138" i="1"/>
  <c r="C140" i="1"/>
  <c r="D140" i="1"/>
  <c r="I140" i="1"/>
  <c r="K140" i="1"/>
  <c r="AC140" i="1"/>
  <c r="AE140" i="1"/>
  <c r="AD140" i="1" s="1"/>
  <c r="AF140" i="1"/>
  <c r="AG140" i="1"/>
  <c r="AH140" i="1"/>
  <c r="AI140" i="1"/>
  <c r="AJ140" i="1"/>
  <c r="CQ140" i="1"/>
  <c r="CR140" i="1"/>
  <c r="CS140" i="1"/>
  <c r="CT140" i="1"/>
  <c r="CU140" i="1"/>
  <c r="T140" i="1" s="1"/>
  <c r="CV140" i="1"/>
  <c r="CW140" i="1"/>
  <c r="CX140" i="1"/>
  <c r="W140" i="1" s="1"/>
  <c r="FR140" i="1"/>
  <c r="GL140" i="1"/>
  <c r="GN140" i="1"/>
  <c r="GP140" i="1"/>
  <c r="GV140" i="1"/>
  <c r="HC140" i="1"/>
  <c r="GX140" i="1" s="1"/>
  <c r="C141" i="1"/>
  <c r="D141" i="1"/>
  <c r="I141" i="1"/>
  <c r="K141" i="1"/>
  <c r="AC141" i="1"/>
  <c r="AE141" i="1"/>
  <c r="AD141" i="1" s="1"/>
  <c r="AF141" i="1"/>
  <c r="AG141" i="1"/>
  <c r="AH141" i="1"/>
  <c r="AI141" i="1"/>
  <c r="AJ141" i="1"/>
  <c r="CQ141" i="1"/>
  <c r="CR141" i="1"/>
  <c r="CS141" i="1"/>
  <c r="CT141" i="1"/>
  <c r="CU141" i="1"/>
  <c r="T141" i="1" s="1"/>
  <c r="CV141" i="1"/>
  <c r="CW141" i="1"/>
  <c r="CX141" i="1"/>
  <c r="W141" i="1" s="1"/>
  <c r="FR141" i="1"/>
  <c r="GL141" i="1"/>
  <c r="GN141" i="1"/>
  <c r="GP141" i="1"/>
  <c r="GV141" i="1"/>
  <c r="HC141" i="1"/>
  <c r="GX141" i="1" s="1"/>
  <c r="C142" i="1"/>
  <c r="D142" i="1"/>
  <c r="I142" i="1"/>
  <c r="K142" i="1"/>
  <c r="AC142" i="1"/>
  <c r="AE142" i="1"/>
  <c r="AD142" i="1" s="1"/>
  <c r="AF142" i="1"/>
  <c r="AG142" i="1"/>
  <c r="AH142" i="1"/>
  <c r="AI142" i="1"/>
  <c r="AJ142" i="1"/>
  <c r="CQ142" i="1"/>
  <c r="CR142" i="1"/>
  <c r="CS142" i="1"/>
  <c r="CT142" i="1"/>
  <c r="CU142" i="1"/>
  <c r="T142" i="1" s="1"/>
  <c r="CV142" i="1"/>
  <c r="CW142" i="1"/>
  <c r="CX142" i="1"/>
  <c r="W142" i="1" s="1"/>
  <c r="FR142" i="1"/>
  <c r="GL142" i="1"/>
  <c r="GN142" i="1"/>
  <c r="GP142" i="1"/>
  <c r="GV142" i="1"/>
  <c r="HC142" i="1"/>
  <c r="GX142" i="1" s="1"/>
  <c r="C143" i="1"/>
  <c r="D143" i="1"/>
  <c r="P143" i="1"/>
  <c r="Q143" i="1"/>
  <c r="R143" i="1"/>
  <c r="S143" i="1"/>
  <c r="U143" i="1"/>
  <c r="G263" i="7" s="1"/>
  <c r="V143" i="1"/>
  <c r="G266" i="7" s="1"/>
  <c r="AC143" i="1"/>
  <c r="AE143" i="1"/>
  <c r="AD143" i="1" s="1"/>
  <c r="AF143" i="1"/>
  <c r="AG143" i="1"/>
  <c r="AH143" i="1"/>
  <c r="AI143" i="1"/>
  <c r="AJ143" i="1"/>
  <c r="CP143" i="1"/>
  <c r="O143" i="1" s="1"/>
  <c r="CQ143" i="1"/>
  <c r="CR143" i="1"/>
  <c r="CS143" i="1"/>
  <c r="CT143" i="1"/>
  <c r="CU143" i="1"/>
  <c r="T143" i="1" s="1"/>
  <c r="CV143" i="1"/>
  <c r="CW143" i="1"/>
  <c r="CX143" i="1"/>
  <c r="W143" i="1" s="1"/>
  <c r="CY143" i="1"/>
  <c r="X143" i="1" s="1"/>
  <c r="AZ280" i="7" s="1"/>
  <c r="L278" i="7" s="1"/>
  <c r="CZ143" i="1"/>
  <c r="Y143" i="1" s="1"/>
  <c r="BA280" i="7" s="1"/>
  <c r="L279" i="7" s="1"/>
  <c r="FR143" i="1"/>
  <c r="GL143" i="1"/>
  <c r="GN143" i="1"/>
  <c r="GP143" i="1"/>
  <c r="GV143" i="1"/>
  <c r="HC143" i="1"/>
  <c r="GX143" i="1" s="1"/>
  <c r="GM143" i="1" s="1"/>
  <c r="GO143" i="1" s="1"/>
  <c r="C144" i="1"/>
  <c r="D144" i="1"/>
  <c r="I144" i="1"/>
  <c r="K144" i="1"/>
  <c r="AC144" i="1"/>
  <c r="AE144" i="1"/>
  <c r="AD144" i="1" s="1"/>
  <c r="AF144" i="1"/>
  <c r="AG144" i="1"/>
  <c r="AH144" i="1"/>
  <c r="AI144" i="1"/>
  <c r="AJ144" i="1"/>
  <c r="CQ144" i="1"/>
  <c r="CR144" i="1"/>
  <c r="CS144" i="1"/>
  <c r="CT144" i="1"/>
  <c r="CU144" i="1"/>
  <c r="T144" i="1" s="1"/>
  <c r="CV144" i="1"/>
  <c r="CW144" i="1"/>
  <c r="CX144" i="1"/>
  <c r="W144" i="1" s="1"/>
  <c r="FR144" i="1"/>
  <c r="GL144" i="1"/>
  <c r="GN144" i="1"/>
  <c r="GP144" i="1"/>
  <c r="GV144" i="1"/>
  <c r="HC144" i="1"/>
  <c r="GX144" i="1" s="1"/>
  <c r="C145" i="1"/>
  <c r="D145" i="1"/>
  <c r="P145" i="1"/>
  <c r="Q145" i="1"/>
  <c r="R145" i="1"/>
  <c r="S145" i="1"/>
  <c r="U145" i="1"/>
  <c r="G296" i="7" s="1"/>
  <c r="V145" i="1"/>
  <c r="AC145" i="1"/>
  <c r="AE145" i="1"/>
  <c r="AD145" i="1" s="1"/>
  <c r="AF145" i="1"/>
  <c r="AG145" i="1"/>
  <c r="AH145" i="1"/>
  <c r="AI145" i="1"/>
  <c r="AJ145" i="1"/>
  <c r="CP145" i="1"/>
  <c r="O145" i="1" s="1"/>
  <c r="CQ145" i="1"/>
  <c r="CR145" i="1"/>
  <c r="CS145" i="1"/>
  <c r="CT145" i="1"/>
  <c r="CU145" i="1"/>
  <c r="T145" i="1" s="1"/>
  <c r="CV145" i="1"/>
  <c r="CW145" i="1"/>
  <c r="CX145" i="1"/>
  <c r="W145" i="1" s="1"/>
  <c r="CY145" i="1"/>
  <c r="X145" i="1" s="1"/>
  <c r="AZ306" i="7" s="1"/>
  <c r="L304" i="7" s="1"/>
  <c r="CZ145" i="1"/>
  <c r="Y145" i="1" s="1"/>
  <c r="BA306" i="7" s="1"/>
  <c r="L305" i="7" s="1"/>
  <c r="FR145" i="1"/>
  <c r="GL145" i="1"/>
  <c r="GN145" i="1"/>
  <c r="GP145" i="1"/>
  <c r="GV145" i="1"/>
  <c r="HC145" i="1"/>
  <c r="GX145" i="1" s="1"/>
  <c r="GM145" i="1" s="1"/>
  <c r="GO145" i="1" s="1"/>
  <c r="B147" i="1"/>
  <c r="B138" i="1" s="1"/>
  <c r="C147" i="1"/>
  <c r="C138" i="1" s="1"/>
  <c r="D147" i="1"/>
  <c r="D138" i="1" s="1"/>
  <c r="F147" i="1"/>
  <c r="F138" i="1" s="1"/>
  <c r="G147" i="1"/>
  <c r="G138" i="1" s="1"/>
  <c r="AG147" i="1"/>
  <c r="AJ147" i="1"/>
  <c r="BX147" i="1"/>
  <c r="BY147" i="1"/>
  <c r="BZ147" i="1"/>
  <c r="CB147" i="1"/>
  <c r="CD147" i="1"/>
  <c r="CG147" i="1"/>
  <c r="CI147" i="1"/>
  <c r="CJ147" i="1"/>
  <c r="CK147" i="1"/>
  <c r="CL147" i="1"/>
  <c r="CM147" i="1"/>
  <c r="D177" i="1"/>
  <c r="E179" i="1"/>
  <c r="Z179" i="1"/>
  <c r="AA179" i="1"/>
  <c r="AM179" i="1"/>
  <c r="AN179" i="1"/>
  <c r="BE179" i="1"/>
  <c r="BF179" i="1"/>
  <c r="BG179" i="1"/>
  <c r="BH179" i="1"/>
  <c r="BI179" i="1"/>
  <c r="BJ179" i="1"/>
  <c r="BK179" i="1"/>
  <c r="BL179" i="1"/>
  <c r="BM179" i="1"/>
  <c r="BN179" i="1"/>
  <c r="BO179" i="1"/>
  <c r="BP179" i="1"/>
  <c r="BQ179" i="1"/>
  <c r="BR179" i="1"/>
  <c r="BS179" i="1"/>
  <c r="BT179" i="1"/>
  <c r="BU179" i="1"/>
  <c r="BV179" i="1"/>
  <c r="BW179" i="1"/>
  <c r="CN179" i="1"/>
  <c r="CO179" i="1"/>
  <c r="CP179" i="1"/>
  <c r="CQ179" i="1"/>
  <c r="CR179" i="1"/>
  <c r="CS179" i="1"/>
  <c r="CT179" i="1"/>
  <c r="CU179" i="1"/>
  <c r="CV179" i="1"/>
  <c r="CW179" i="1"/>
  <c r="CX179" i="1"/>
  <c r="CY179" i="1"/>
  <c r="CZ179" i="1"/>
  <c r="DA179" i="1"/>
  <c r="DB179" i="1"/>
  <c r="DC179" i="1"/>
  <c r="DD179" i="1"/>
  <c r="DE179" i="1"/>
  <c r="DF179" i="1"/>
  <c r="DG179" i="1"/>
  <c r="DH179" i="1"/>
  <c r="DI179" i="1"/>
  <c r="DJ179" i="1"/>
  <c r="DK179" i="1"/>
  <c r="DL179" i="1"/>
  <c r="DM179" i="1"/>
  <c r="DN179" i="1"/>
  <c r="DO179" i="1"/>
  <c r="DP179" i="1"/>
  <c r="DQ179" i="1"/>
  <c r="DR179" i="1"/>
  <c r="DS179" i="1"/>
  <c r="DT179" i="1"/>
  <c r="DU179" i="1"/>
  <c r="DV179" i="1"/>
  <c r="DW179" i="1"/>
  <c r="DX179" i="1"/>
  <c r="DY179" i="1"/>
  <c r="DZ179" i="1"/>
  <c r="EA179" i="1"/>
  <c r="EB179" i="1"/>
  <c r="EC179" i="1"/>
  <c r="ED179" i="1"/>
  <c r="EE179" i="1"/>
  <c r="EF179" i="1"/>
  <c r="EG179" i="1"/>
  <c r="EH179" i="1"/>
  <c r="EI179" i="1"/>
  <c r="EJ179" i="1"/>
  <c r="EK179" i="1"/>
  <c r="EL179" i="1"/>
  <c r="EM179" i="1"/>
  <c r="EN179" i="1"/>
  <c r="EO179" i="1"/>
  <c r="EP179" i="1"/>
  <c r="EQ179" i="1"/>
  <c r="ER179" i="1"/>
  <c r="ES179" i="1"/>
  <c r="ET179" i="1"/>
  <c r="EU179" i="1"/>
  <c r="EV179" i="1"/>
  <c r="EW179" i="1"/>
  <c r="EX179" i="1"/>
  <c r="EY179" i="1"/>
  <c r="EZ179" i="1"/>
  <c r="FA179" i="1"/>
  <c r="FB179" i="1"/>
  <c r="FC179" i="1"/>
  <c r="FD179" i="1"/>
  <c r="FE179" i="1"/>
  <c r="FF179" i="1"/>
  <c r="FG179" i="1"/>
  <c r="FH179" i="1"/>
  <c r="FI179" i="1"/>
  <c r="FJ179" i="1"/>
  <c r="FK179" i="1"/>
  <c r="FL179" i="1"/>
  <c r="FM179" i="1"/>
  <c r="FN179" i="1"/>
  <c r="FO179" i="1"/>
  <c r="FP179" i="1"/>
  <c r="FQ179" i="1"/>
  <c r="FR179" i="1"/>
  <c r="FS179" i="1"/>
  <c r="FT179" i="1"/>
  <c r="FU179" i="1"/>
  <c r="FV179" i="1"/>
  <c r="FW179" i="1"/>
  <c r="FX179" i="1"/>
  <c r="FY179" i="1"/>
  <c r="FZ179" i="1"/>
  <c r="GA179" i="1"/>
  <c r="GB179" i="1"/>
  <c r="GC179" i="1"/>
  <c r="GD179" i="1"/>
  <c r="GE179" i="1"/>
  <c r="GF179" i="1"/>
  <c r="GG179" i="1"/>
  <c r="GH179" i="1"/>
  <c r="GI179" i="1"/>
  <c r="GJ179" i="1"/>
  <c r="GK179" i="1"/>
  <c r="GL179" i="1"/>
  <c r="GM179" i="1"/>
  <c r="GN179" i="1"/>
  <c r="GO179" i="1"/>
  <c r="GP179" i="1"/>
  <c r="GQ179" i="1"/>
  <c r="GR179" i="1"/>
  <c r="GS179" i="1"/>
  <c r="GT179" i="1"/>
  <c r="GU179" i="1"/>
  <c r="GV179" i="1"/>
  <c r="GW179" i="1"/>
  <c r="GX179" i="1"/>
  <c r="I181" i="1"/>
  <c r="K181" i="1"/>
  <c r="AC181" i="1"/>
  <c r="AE181" i="1"/>
  <c r="AD181" i="1" s="1"/>
  <c r="AF181" i="1"/>
  <c r="AG181" i="1"/>
  <c r="AH181" i="1"/>
  <c r="AI181" i="1"/>
  <c r="AJ181" i="1"/>
  <c r="CQ181" i="1"/>
  <c r="P181" i="1" s="1"/>
  <c r="CR181" i="1"/>
  <c r="Q181" i="1" s="1"/>
  <c r="CS181" i="1"/>
  <c r="R181" i="1" s="1"/>
  <c r="CT181" i="1"/>
  <c r="S181" i="1" s="1"/>
  <c r="CU181" i="1"/>
  <c r="T181" i="1" s="1"/>
  <c r="CV181" i="1"/>
  <c r="U181" i="1" s="1"/>
  <c r="CW181" i="1"/>
  <c r="V181" i="1" s="1"/>
  <c r="CX181" i="1"/>
  <c r="W181" i="1" s="1"/>
  <c r="CY181" i="1"/>
  <c r="X181" i="1" s="1"/>
  <c r="CZ181" i="1"/>
  <c r="Y181" i="1" s="1"/>
  <c r="FR181" i="1"/>
  <c r="GL181" i="1"/>
  <c r="GN181" i="1"/>
  <c r="GP181" i="1"/>
  <c r="GV181" i="1"/>
  <c r="HC181" i="1"/>
  <c r="GX181" i="1" s="1"/>
  <c r="AC182" i="1"/>
  <c r="AE182" i="1"/>
  <c r="AD182" i="1" s="1"/>
  <c r="AF182" i="1"/>
  <c r="AG182" i="1"/>
  <c r="AH182" i="1"/>
  <c r="AI182" i="1"/>
  <c r="AJ182" i="1"/>
  <c r="CQ182" i="1"/>
  <c r="P182" i="1" s="1"/>
  <c r="CR182" i="1"/>
  <c r="Q182" i="1" s="1"/>
  <c r="CS182" i="1"/>
  <c r="R182" i="1" s="1"/>
  <c r="CT182" i="1"/>
  <c r="S182" i="1" s="1"/>
  <c r="CU182" i="1"/>
  <c r="T182" i="1" s="1"/>
  <c r="CV182" i="1"/>
  <c r="U182" i="1" s="1"/>
  <c r="CW182" i="1"/>
  <c r="V182" i="1" s="1"/>
  <c r="CX182" i="1"/>
  <c r="W182" i="1" s="1"/>
  <c r="CY182" i="1"/>
  <c r="X182" i="1" s="1"/>
  <c r="CZ182" i="1"/>
  <c r="Y182" i="1" s="1"/>
  <c r="FR182" i="1"/>
  <c r="GL182" i="1"/>
  <c r="GN182" i="1"/>
  <c r="GP182" i="1"/>
  <c r="GV182" i="1"/>
  <c r="HC182" i="1"/>
  <c r="GX182" i="1" s="1"/>
  <c r="AC183" i="1"/>
  <c r="AE183" i="1"/>
  <c r="AD183" i="1" s="1"/>
  <c r="AF183" i="1"/>
  <c r="AG183" i="1"/>
  <c r="AH183" i="1"/>
  <c r="AI183" i="1"/>
  <c r="AJ183" i="1"/>
  <c r="CQ183" i="1"/>
  <c r="P183" i="1" s="1"/>
  <c r="CR183" i="1"/>
  <c r="Q183" i="1" s="1"/>
  <c r="CS183" i="1"/>
  <c r="R183" i="1" s="1"/>
  <c r="CT183" i="1"/>
  <c r="S183" i="1" s="1"/>
  <c r="CU183" i="1"/>
  <c r="T183" i="1" s="1"/>
  <c r="CV183" i="1"/>
  <c r="U183" i="1" s="1"/>
  <c r="CW183" i="1"/>
  <c r="V183" i="1" s="1"/>
  <c r="CX183" i="1"/>
  <c r="W183" i="1" s="1"/>
  <c r="CY183" i="1"/>
  <c r="X183" i="1" s="1"/>
  <c r="CZ183" i="1"/>
  <c r="Y183" i="1" s="1"/>
  <c r="FR183" i="1"/>
  <c r="GL183" i="1"/>
  <c r="GO183" i="1"/>
  <c r="GP183" i="1"/>
  <c r="GV183" i="1"/>
  <c r="HC183" i="1"/>
  <c r="GX183" i="1" s="1"/>
  <c r="AC184" i="1"/>
  <c r="AE184" i="1"/>
  <c r="AD184" i="1" s="1"/>
  <c r="AF184" i="1"/>
  <c r="AG184" i="1"/>
  <c r="AH184" i="1"/>
  <c r="AI184" i="1"/>
  <c r="AJ184" i="1"/>
  <c r="CQ184" i="1"/>
  <c r="P184" i="1" s="1"/>
  <c r="CR184" i="1"/>
  <c r="Q184" i="1" s="1"/>
  <c r="CS184" i="1"/>
  <c r="R184" i="1" s="1"/>
  <c r="CT184" i="1"/>
  <c r="S184" i="1" s="1"/>
  <c r="CU184" i="1"/>
  <c r="T184" i="1" s="1"/>
  <c r="CV184" i="1"/>
  <c r="U184" i="1" s="1"/>
  <c r="CW184" i="1"/>
  <c r="V184" i="1" s="1"/>
  <c r="CX184" i="1"/>
  <c r="W184" i="1" s="1"/>
  <c r="CY184" i="1"/>
  <c r="X184" i="1" s="1"/>
  <c r="CZ184" i="1"/>
  <c r="Y184" i="1" s="1"/>
  <c r="FR184" i="1"/>
  <c r="GL184" i="1"/>
  <c r="GN184" i="1"/>
  <c r="GP184" i="1"/>
  <c r="GV184" i="1"/>
  <c r="HC184" i="1"/>
  <c r="GX184" i="1" s="1"/>
  <c r="I185" i="1"/>
  <c r="K185" i="1"/>
  <c r="AC185" i="1"/>
  <c r="AE185" i="1"/>
  <c r="AD185" i="1" s="1"/>
  <c r="AF185" i="1"/>
  <c r="AG185" i="1"/>
  <c r="AH185" i="1"/>
  <c r="AI185" i="1"/>
  <c r="AJ185" i="1"/>
  <c r="CQ185" i="1"/>
  <c r="P185" i="1" s="1"/>
  <c r="CR185" i="1"/>
  <c r="Q185" i="1" s="1"/>
  <c r="CS185" i="1"/>
  <c r="R185" i="1" s="1"/>
  <c r="CT185" i="1"/>
  <c r="S185" i="1" s="1"/>
  <c r="CU185" i="1"/>
  <c r="T185" i="1" s="1"/>
  <c r="CV185" i="1"/>
  <c r="U185" i="1" s="1"/>
  <c r="CW185" i="1"/>
  <c r="V185" i="1" s="1"/>
  <c r="CX185" i="1"/>
  <c r="W185" i="1" s="1"/>
  <c r="CY185" i="1"/>
  <c r="X185" i="1" s="1"/>
  <c r="CZ185" i="1"/>
  <c r="Y185" i="1" s="1"/>
  <c r="FR185" i="1"/>
  <c r="GL185" i="1"/>
  <c r="GN185" i="1"/>
  <c r="GP185" i="1"/>
  <c r="GV185" i="1"/>
  <c r="HC185" i="1"/>
  <c r="GX185" i="1" s="1"/>
  <c r="B187" i="1"/>
  <c r="B179" i="1" s="1"/>
  <c r="C187" i="1"/>
  <c r="C179" i="1" s="1"/>
  <c r="D187" i="1"/>
  <c r="D179" i="1" s="1"/>
  <c r="F187" i="1"/>
  <c r="F179" i="1" s="1"/>
  <c r="G187" i="1"/>
  <c r="G179" i="1" s="1"/>
  <c r="AC187" i="1"/>
  <c r="AD187" i="1"/>
  <c r="AE187" i="1"/>
  <c r="AF187" i="1"/>
  <c r="AG187" i="1"/>
  <c r="AH187" i="1"/>
  <c r="AI187" i="1"/>
  <c r="AJ187" i="1"/>
  <c r="AK187" i="1"/>
  <c r="AL187" i="1"/>
  <c r="BX187" i="1"/>
  <c r="BY187" i="1"/>
  <c r="BZ187" i="1"/>
  <c r="CD187" i="1"/>
  <c r="CE187" i="1"/>
  <c r="CF187" i="1"/>
  <c r="CG187" i="1"/>
  <c r="CH187" i="1"/>
  <c r="CI187" i="1"/>
  <c r="CJ187" i="1"/>
  <c r="CK187" i="1"/>
  <c r="CL187" i="1"/>
  <c r="CM187" i="1"/>
  <c r="D217" i="1"/>
  <c r="E219" i="1"/>
  <c r="Z219" i="1"/>
  <c r="AA219" i="1"/>
  <c r="AM219" i="1"/>
  <c r="AN219" i="1"/>
  <c r="BE219" i="1"/>
  <c r="BF219" i="1"/>
  <c r="BG219" i="1"/>
  <c r="BH219" i="1"/>
  <c r="BI219" i="1"/>
  <c r="BJ219" i="1"/>
  <c r="BK219" i="1"/>
  <c r="BL219" i="1"/>
  <c r="BM219" i="1"/>
  <c r="BN219" i="1"/>
  <c r="BO219" i="1"/>
  <c r="BP219" i="1"/>
  <c r="BQ219" i="1"/>
  <c r="BR219" i="1"/>
  <c r="BS219" i="1"/>
  <c r="BT219" i="1"/>
  <c r="BU219" i="1"/>
  <c r="BV219" i="1"/>
  <c r="BW219" i="1"/>
  <c r="CN219" i="1"/>
  <c r="CO219" i="1"/>
  <c r="CP219" i="1"/>
  <c r="CQ219" i="1"/>
  <c r="CR219" i="1"/>
  <c r="CS219" i="1"/>
  <c r="CT219" i="1"/>
  <c r="CU219" i="1"/>
  <c r="CV219" i="1"/>
  <c r="CW219" i="1"/>
  <c r="CX219" i="1"/>
  <c r="CY219" i="1"/>
  <c r="CZ219" i="1"/>
  <c r="DA219" i="1"/>
  <c r="DB219" i="1"/>
  <c r="DC219" i="1"/>
  <c r="DD219" i="1"/>
  <c r="DE219" i="1"/>
  <c r="DF219" i="1"/>
  <c r="DG219" i="1"/>
  <c r="DH219" i="1"/>
  <c r="DI219" i="1"/>
  <c r="DJ219" i="1"/>
  <c r="DK219" i="1"/>
  <c r="DL219" i="1"/>
  <c r="DM219" i="1"/>
  <c r="DN219" i="1"/>
  <c r="DO219" i="1"/>
  <c r="DP219" i="1"/>
  <c r="DQ219" i="1"/>
  <c r="DR219" i="1"/>
  <c r="DS219" i="1"/>
  <c r="DT219" i="1"/>
  <c r="DU219" i="1"/>
  <c r="DV219" i="1"/>
  <c r="DW219" i="1"/>
  <c r="DX219" i="1"/>
  <c r="DY219" i="1"/>
  <c r="DZ219" i="1"/>
  <c r="EA219" i="1"/>
  <c r="EB219" i="1"/>
  <c r="EC219" i="1"/>
  <c r="ED219" i="1"/>
  <c r="EE219" i="1"/>
  <c r="EF219" i="1"/>
  <c r="EG219" i="1"/>
  <c r="EH219" i="1"/>
  <c r="EI219" i="1"/>
  <c r="EJ219" i="1"/>
  <c r="EK219" i="1"/>
  <c r="EL219" i="1"/>
  <c r="EM219" i="1"/>
  <c r="EN219" i="1"/>
  <c r="EO219" i="1"/>
  <c r="EP219" i="1"/>
  <c r="EQ219" i="1"/>
  <c r="ER219" i="1"/>
  <c r="ES219" i="1"/>
  <c r="ET219" i="1"/>
  <c r="EU219" i="1"/>
  <c r="EV219" i="1"/>
  <c r="EW219" i="1"/>
  <c r="EX219" i="1"/>
  <c r="EY219" i="1"/>
  <c r="EZ219" i="1"/>
  <c r="FA219" i="1"/>
  <c r="FB219" i="1"/>
  <c r="FC219" i="1"/>
  <c r="FD219" i="1"/>
  <c r="FE219" i="1"/>
  <c r="FF219" i="1"/>
  <c r="FG219" i="1"/>
  <c r="FH219" i="1"/>
  <c r="FI219" i="1"/>
  <c r="FJ219" i="1"/>
  <c r="FK219" i="1"/>
  <c r="FL219" i="1"/>
  <c r="FM219" i="1"/>
  <c r="FN219" i="1"/>
  <c r="FO219" i="1"/>
  <c r="FP219" i="1"/>
  <c r="FQ219" i="1"/>
  <c r="FR219" i="1"/>
  <c r="FS219" i="1"/>
  <c r="FT219" i="1"/>
  <c r="FU219" i="1"/>
  <c r="FV219" i="1"/>
  <c r="FW219" i="1"/>
  <c r="FX219" i="1"/>
  <c r="FY219" i="1"/>
  <c r="FZ219" i="1"/>
  <c r="GA219" i="1"/>
  <c r="GB219" i="1"/>
  <c r="GC219" i="1"/>
  <c r="GD219" i="1"/>
  <c r="GE219" i="1"/>
  <c r="GF219" i="1"/>
  <c r="GG219" i="1"/>
  <c r="GH219" i="1"/>
  <c r="GI219" i="1"/>
  <c r="GJ219" i="1"/>
  <c r="GK219" i="1"/>
  <c r="GL219" i="1"/>
  <c r="GM219" i="1"/>
  <c r="GN219" i="1"/>
  <c r="GO219" i="1"/>
  <c r="GP219" i="1"/>
  <c r="GQ219" i="1"/>
  <c r="GR219" i="1"/>
  <c r="GS219" i="1"/>
  <c r="GT219" i="1"/>
  <c r="GU219" i="1"/>
  <c r="GV219" i="1"/>
  <c r="GW219" i="1"/>
  <c r="GX219" i="1"/>
  <c r="C221" i="1"/>
  <c r="D221" i="1"/>
  <c r="P221" i="1"/>
  <c r="Q221" i="1"/>
  <c r="R221" i="1"/>
  <c r="S221" i="1"/>
  <c r="U221" i="1"/>
  <c r="G386" i="7" s="1"/>
  <c r="V221" i="1"/>
  <c r="AC221" i="1"/>
  <c r="AE221" i="1"/>
  <c r="AD221" i="1" s="1"/>
  <c r="AF221" i="1"/>
  <c r="AG221" i="1"/>
  <c r="AH221" i="1"/>
  <c r="AI221" i="1"/>
  <c r="AJ221" i="1"/>
  <c r="CP221" i="1"/>
  <c r="O221" i="1" s="1"/>
  <c r="CQ221" i="1"/>
  <c r="CR221" i="1"/>
  <c r="CS221" i="1"/>
  <c r="CT221" i="1"/>
  <c r="CU221" i="1"/>
  <c r="T221" i="1" s="1"/>
  <c r="CV221" i="1"/>
  <c r="CW221" i="1"/>
  <c r="CX221" i="1"/>
  <c r="W221" i="1" s="1"/>
  <c r="CY221" i="1"/>
  <c r="X221" i="1" s="1"/>
  <c r="AZ393" i="7" s="1"/>
  <c r="CZ221" i="1"/>
  <c r="Y221" i="1" s="1"/>
  <c r="BA393" i="7" s="1"/>
  <c r="FR221" i="1"/>
  <c r="GL221" i="1"/>
  <c r="GN221" i="1"/>
  <c r="GO221" i="1"/>
  <c r="GV221" i="1"/>
  <c r="HC221" i="1"/>
  <c r="GX221" i="1" s="1"/>
  <c r="GM221" i="1" s="1"/>
  <c r="GP221" i="1" s="1"/>
  <c r="C222" i="1"/>
  <c r="D222" i="1"/>
  <c r="P222" i="1"/>
  <c r="Q222" i="1"/>
  <c r="R222" i="1"/>
  <c r="S222" i="1"/>
  <c r="U222" i="1"/>
  <c r="G395" i="7" s="1"/>
  <c r="V222" i="1"/>
  <c r="AC222" i="1"/>
  <c r="AE222" i="1"/>
  <c r="AD222" i="1" s="1"/>
  <c r="AF222" i="1"/>
  <c r="AG222" i="1"/>
  <c r="AH222" i="1"/>
  <c r="AI222" i="1"/>
  <c r="AJ222" i="1"/>
  <c r="CP222" i="1"/>
  <c r="O222" i="1" s="1"/>
  <c r="CQ222" i="1"/>
  <c r="CR222" i="1"/>
  <c r="CS222" i="1"/>
  <c r="CT222" i="1"/>
  <c r="CU222" i="1"/>
  <c r="T222" i="1" s="1"/>
  <c r="CV222" i="1"/>
  <c r="CW222" i="1"/>
  <c r="CX222" i="1"/>
  <c r="W222" i="1" s="1"/>
  <c r="CY222" i="1"/>
  <c r="X222" i="1" s="1"/>
  <c r="AZ402" i="7" s="1"/>
  <c r="L400" i="7" s="1"/>
  <c r="CZ222" i="1"/>
  <c r="Y222" i="1" s="1"/>
  <c r="BA402" i="7" s="1"/>
  <c r="L401" i="7" s="1"/>
  <c r="FR222" i="1"/>
  <c r="GL222" i="1"/>
  <c r="GN222" i="1"/>
  <c r="GO222" i="1"/>
  <c r="GV222" i="1"/>
  <c r="HC222" i="1"/>
  <c r="GX222" i="1" s="1"/>
  <c r="GM222" i="1" s="1"/>
  <c r="GP222" i="1" s="1"/>
  <c r="C223" i="1"/>
  <c r="D223" i="1"/>
  <c r="P223" i="1"/>
  <c r="Q223" i="1"/>
  <c r="R223" i="1"/>
  <c r="S223" i="1"/>
  <c r="U223" i="1"/>
  <c r="G404" i="7" s="1"/>
  <c r="V223" i="1"/>
  <c r="AC223" i="1"/>
  <c r="AE223" i="1"/>
  <c r="AD223" i="1" s="1"/>
  <c r="AF223" i="1"/>
  <c r="AG223" i="1"/>
  <c r="AH223" i="1"/>
  <c r="AI223" i="1"/>
  <c r="AJ223" i="1"/>
  <c r="CP223" i="1"/>
  <c r="O223" i="1" s="1"/>
  <c r="CQ223" i="1"/>
  <c r="CR223" i="1"/>
  <c r="CS223" i="1"/>
  <c r="CT223" i="1"/>
  <c r="CU223" i="1"/>
  <c r="T223" i="1" s="1"/>
  <c r="CV223" i="1"/>
  <c r="CW223" i="1"/>
  <c r="CX223" i="1"/>
  <c r="W223" i="1" s="1"/>
  <c r="CY223" i="1"/>
  <c r="X223" i="1" s="1"/>
  <c r="AZ411" i="7" s="1"/>
  <c r="L409" i="7" s="1"/>
  <c r="CZ223" i="1"/>
  <c r="Y223" i="1" s="1"/>
  <c r="BA411" i="7" s="1"/>
  <c r="L410" i="7" s="1"/>
  <c r="FR223" i="1"/>
  <c r="GL223" i="1"/>
  <c r="GN223" i="1"/>
  <c r="GO223" i="1"/>
  <c r="GV223" i="1"/>
  <c r="HC223" i="1"/>
  <c r="GX223" i="1" s="1"/>
  <c r="GM223" i="1" s="1"/>
  <c r="GP223" i="1" s="1"/>
  <c r="C224" i="1"/>
  <c r="D224" i="1"/>
  <c r="I224" i="1"/>
  <c r="K224" i="1"/>
  <c r="V224" i="1"/>
  <c r="AC224" i="1"/>
  <c r="AE224" i="1"/>
  <c r="AD224" i="1" s="1"/>
  <c r="AF224" i="1"/>
  <c r="AG224" i="1"/>
  <c r="AH224" i="1"/>
  <c r="AI224" i="1"/>
  <c r="AJ224" i="1"/>
  <c r="CQ224" i="1"/>
  <c r="CR224" i="1"/>
  <c r="CS224" i="1"/>
  <c r="CT224" i="1"/>
  <c r="CU224" i="1"/>
  <c r="T224" i="1" s="1"/>
  <c r="CV224" i="1"/>
  <c r="CW224" i="1"/>
  <c r="CX224" i="1"/>
  <c r="W224" i="1" s="1"/>
  <c r="FR224" i="1"/>
  <c r="GL224" i="1"/>
  <c r="GN224" i="1"/>
  <c r="GO224" i="1"/>
  <c r="GV224" i="1"/>
  <c r="HC224" i="1"/>
  <c r="GX224" i="1" s="1"/>
  <c r="B226" i="1"/>
  <c r="B219" i="1" s="1"/>
  <c r="C226" i="1"/>
  <c r="C219" i="1" s="1"/>
  <c r="D226" i="1"/>
  <c r="D219" i="1" s="1"/>
  <c r="F226" i="1"/>
  <c r="F219" i="1" s="1"/>
  <c r="G226" i="1"/>
  <c r="G219" i="1" s="1"/>
  <c r="AG226" i="1"/>
  <c r="AI226" i="1"/>
  <c r="AJ226" i="1"/>
  <c r="BX226" i="1"/>
  <c r="BY226" i="1"/>
  <c r="BZ226" i="1"/>
  <c r="CB226" i="1"/>
  <c r="CC226" i="1"/>
  <c r="CG226" i="1"/>
  <c r="CI226" i="1"/>
  <c r="CJ226" i="1"/>
  <c r="CK226" i="1"/>
  <c r="CL226" i="1"/>
  <c r="CM226" i="1"/>
  <c r="B256" i="1"/>
  <c r="B56" i="1" s="1"/>
  <c r="C256" i="1"/>
  <c r="C56" i="1" s="1"/>
  <c r="D256" i="1"/>
  <c r="D56" i="1" s="1"/>
  <c r="F256" i="1"/>
  <c r="F56" i="1" s="1"/>
  <c r="G256" i="1"/>
  <c r="G56" i="1" s="1"/>
  <c r="B289" i="1"/>
  <c r="B18" i="1" s="1"/>
  <c r="C289" i="1"/>
  <c r="C18" i="1" s="1"/>
  <c r="D289" i="1"/>
  <c r="D18" i="1" s="1"/>
  <c r="F289" i="1"/>
  <c r="F18" i="1" s="1"/>
  <c r="G289" i="1"/>
  <c r="G18" i="1" s="1"/>
  <c r="F12" i="6"/>
  <c r="G12" i="6"/>
  <c r="CY12" i="6"/>
  <c r="AR64" i="7" l="1"/>
  <c r="L60" i="7"/>
  <c r="AR74" i="7"/>
  <c r="L71" i="7" s="1"/>
  <c r="L70" i="7"/>
  <c r="AR84" i="7"/>
  <c r="L81" i="7" s="1"/>
  <c r="L79" i="7"/>
  <c r="AW80" i="7"/>
  <c r="AN80" i="7"/>
  <c r="AR101" i="7"/>
  <c r="AT101" i="7"/>
  <c r="L90" i="7"/>
  <c r="AW97" i="7"/>
  <c r="AN97" i="7"/>
  <c r="AR158" i="7"/>
  <c r="AT158" i="7"/>
  <c r="L140" i="7"/>
  <c r="L191" i="7"/>
  <c r="L189" i="7" s="1"/>
  <c r="AR178" i="7"/>
  <c r="AT178" i="7"/>
  <c r="L163" i="7"/>
  <c r="AR224" i="7"/>
  <c r="AT224" i="7"/>
  <c r="L216" i="7"/>
  <c r="AR238" i="7"/>
  <c r="AT238" i="7"/>
  <c r="L229" i="7"/>
  <c r="AR261" i="7"/>
  <c r="AT261" i="7"/>
  <c r="L243" i="7"/>
  <c r="AR280" i="7"/>
  <c r="AT280" i="7"/>
  <c r="L265" i="7"/>
  <c r="AR294" i="7"/>
  <c r="AT294" i="7"/>
  <c r="L285" i="7"/>
  <c r="AR306" i="7"/>
  <c r="L303" i="7" s="1"/>
  <c r="AN306" i="7"/>
  <c r="K306" i="7"/>
  <c r="I306" i="7" s="1"/>
  <c r="L302" i="7"/>
  <c r="AW342" i="7"/>
  <c r="AN342" i="7"/>
  <c r="K342" i="7"/>
  <c r="I342" i="7" s="1"/>
  <c r="L367" i="7"/>
  <c r="L355" i="7"/>
  <c r="AW344" i="7"/>
  <c r="AN344" i="7"/>
  <c r="K344" i="7"/>
  <c r="I344" i="7" s="1"/>
  <c r="AW346" i="7"/>
  <c r="AN346" i="7"/>
  <c r="K346" i="7"/>
  <c r="I346" i="7" s="1"/>
  <c r="AW348" i="7"/>
  <c r="AN348" i="7"/>
  <c r="K348" i="7"/>
  <c r="I348" i="7" s="1"/>
  <c r="AW351" i="7"/>
  <c r="AN351" i="7"/>
  <c r="K351" i="7"/>
  <c r="I351" i="7" s="1"/>
  <c r="AR393" i="7"/>
  <c r="L389" i="7"/>
  <c r="L391" i="7"/>
  <c r="L392" i="7"/>
  <c r="L512" i="7"/>
  <c r="L428" i="7"/>
  <c r="L514" i="7"/>
  <c r="L430" i="7"/>
  <c r="L518" i="7"/>
  <c r="L516" i="7" s="1"/>
  <c r="L434" i="7"/>
  <c r="L432" i="7" s="1"/>
  <c r="AR402" i="7"/>
  <c r="L399" i="7" s="1"/>
  <c r="AN402" i="7"/>
  <c r="K402" i="7"/>
  <c r="L398" i="7"/>
  <c r="AR411" i="7"/>
  <c r="L408" i="7" s="1"/>
  <c r="AN411" i="7"/>
  <c r="K411" i="7"/>
  <c r="L407" i="7"/>
  <c r="AR421" i="7"/>
  <c r="L418" i="7" s="1"/>
  <c r="L417" i="7"/>
  <c r="CM219" i="1"/>
  <c r="BD226" i="1"/>
  <c r="CL219" i="1"/>
  <c r="BC226" i="1"/>
  <c r="CK219" i="1"/>
  <c r="BB226" i="1"/>
  <c r="CJ219" i="1"/>
  <c r="BA226" i="1"/>
  <c r="CI219" i="1"/>
  <c r="AZ226" i="1"/>
  <c r="CG219" i="1"/>
  <c r="AX226" i="1"/>
  <c r="CC219" i="1"/>
  <c r="AT226" i="1"/>
  <c r="CB219" i="1"/>
  <c r="AS226" i="1"/>
  <c r="BZ219" i="1"/>
  <c r="AQ226" i="1"/>
  <c r="BY219" i="1"/>
  <c r="AP226" i="1"/>
  <c r="BX219" i="1"/>
  <c r="AO226" i="1"/>
  <c r="AJ219" i="1"/>
  <c r="W226" i="1"/>
  <c r="AI219" i="1"/>
  <c r="V226" i="1"/>
  <c r="AG219" i="1"/>
  <c r="T226" i="1"/>
  <c r="AB224" i="1"/>
  <c r="CU74" i="3"/>
  <c r="CV74" i="3"/>
  <c r="CX74" i="3"/>
  <c r="CU75" i="3"/>
  <c r="CV75" i="3"/>
  <c r="CX75" i="3"/>
  <c r="AB223" i="1"/>
  <c r="AB222" i="1"/>
  <c r="AB221" i="1"/>
  <c r="CM179" i="1"/>
  <c r="BD187" i="1"/>
  <c r="CL179" i="1"/>
  <c r="BC187" i="1"/>
  <c r="CK179" i="1"/>
  <c r="BB187" i="1"/>
  <c r="CJ179" i="1"/>
  <c r="BA187" i="1"/>
  <c r="CI179" i="1"/>
  <c r="AZ187" i="1"/>
  <c r="CH179" i="1"/>
  <c r="AY187" i="1"/>
  <c r="CG179" i="1"/>
  <c r="AX187" i="1"/>
  <c r="CF179" i="1"/>
  <c r="AW187" i="1"/>
  <c r="CE179" i="1"/>
  <c r="AV187" i="1"/>
  <c r="CD179" i="1"/>
  <c r="AU187" i="1"/>
  <c r="BZ179" i="1"/>
  <c r="AQ187" i="1"/>
  <c r="BY179" i="1"/>
  <c r="AP187" i="1"/>
  <c r="BX179" i="1"/>
  <c r="AO187" i="1"/>
  <c r="AL179" i="1"/>
  <c r="Y187" i="1"/>
  <c r="AK179" i="1"/>
  <c r="X187" i="1"/>
  <c r="AJ179" i="1"/>
  <c r="W187" i="1"/>
  <c r="AI179" i="1"/>
  <c r="V187" i="1"/>
  <c r="AH179" i="1"/>
  <c r="U187" i="1"/>
  <c r="AG179" i="1"/>
  <c r="T187" i="1"/>
  <c r="AF179" i="1"/>
  <c r="S187" i="1"/>
  <c r="AE179" i="1"/>
  <c r="R187" i="1"/>
  <c r="AD179" i="1"/>
  <c r="Q187" i="1"/>
  <c r="AC179" i="1"/>
  <c r="P187" i="1"/>
  <c r="CP185" i="1"/>
  <c r="O185" i="1" s="1"/>
  <c r="GM185" i="1" s="1"/>
  <c r="GO185" i="1" s="1"/>
  <c r="AB185" i="1"/>
  <c r="CP184" i="1"/>
  <c r="O184" i="1" s="1"/>
  <c r="GM184" i="1" s="1"/>
  <c r="GO184" i="1" s="1"/>
  <c r="AB184" i="1"/>
  <c r="CP183" i="1"/>
  <c r="O183" i="1" s="1"/>
  <c r="GM183" i="1" s="1"/>
  <c r="GN183" i="1" s="1"/>
  <c r="CB187" i="1" s="1"/>
  <c r="AB183" i="1"/>
  <c r="CP182" i="1"/>
  <c r="O182" i="1" s="1"/>
  <c r="GM182" i="1" s="1"/>
  <c r="GO182" i="1" s="1"/>
  <c r="AB182" i="1"/>
  <c r="CP181" i="1"/>
  <c r="O181" i="1" s="1"/>
  <c r="AB181" i="1"/>
  <c r="CM138" i="1"/>
  <c r="BD147" i="1"/>
  <c r="CL138" i="1"/>
  <c r="BC147" i="1"/>
  <c r="CK138" i="1"/>
  <c r="BB147" i="1"/>
  <c r="CJ138" i="1"/>
  <c r="BA147" i="1"/>
  <c r="CI138" i="1"/>
  <c r="AZ147" i="1"/>
  <c r="CG138" i="1"/>
  <c r="AX147" i="1"/>
  <c r="CD138" i="1"/>
  <c r="AU147" i="1"/>
  <c r="CB138" i="1"/>
  <c r="AS147" i="1"/>
  <c r="BZ138" i="1"/>
  <c r="AQ147" i="1"/>
  <c r="BY138" i="1"/>
  <c r="AP147" i="1"/>
  <c r="BX138" i="1"/>
  <c r="AO147" i="1"/>
  <c r="AJ138" i="1"/>
  <c r="W147" i="1"/>
  <c r="AG138" i="1"/>
  <c r="T147" i="1"/>
  <c r="AB145" i="1"/>
  <c r="AB144" i="1"/>
  <c r="CU60" i="3"/>
  <c r="CV60" i="3"/>
  <c r="U144" i="1" s="1"/>
  <c r="G283" i="7" s="1"/>
  <c r="CX60" i="3"/>
  <c r="CX61" i="3"/>
  <c r="CW62" i="3"/>
  <c r="V144" i="1" s="1"/>
  <c r="G286" i="7" s="1"/>
  <c r="CX62" i="3"/>
  <c r="CX63" i="3"/>
  <c r="AB143" i="1"/>
  <c r="AB142" i="1"/>
  <c r="CU39" i="3"/>
  <c r="CV39" i="3"/>
  <c r="U142" i="1" s="1"/>
  <c r="G241" i="7" s="1"/>
  <c r="CX39" i="3"/>
  <c r="CX40" i="3"/>
  <c r="CW41" i="3"/>
  <c r="CX41" i="3"/>
  <c r="CW42" i="3"/>
  <c r="CX42" i="3"/>
  <c r="CW43" i="3"/>
  <c r="CX43" i="3"/>
  <c r="CW44" i="3"/>
  <c r="CX44" i="3"/>
  <c r="CX45" i="3"/>
  <c r="CX46" i="3"/>
  <c r="CX47" i="3"/>
  <c r="CX48" i="3"/>
  <c r="CX49" i="3"/>
  <c r="CX50" i="3"/>
  <c r="AB141" i="1"/>
  <c r="CU35" i="3"/>
  <c r="CV35" i="3"/>
  <c r="U141" i="1" s="1"/>
  <c r="G227" i="7" s="1"/>
  <c r="CX35" i="3"/>
  <c r="CX36" i="3"/>
  <c r="CW37" i="3"/>
  <c r="V141" i="1" s="1"/>
  <c r="G230" i="7" s="1"/>
  <c r="CX37" i="3"/>
  <c r="CX38" i="3"/>
  <c r="AB140" i="1"/>
  <c r="CU32" i="3"/>
  <c r="CV32" i="3"/>
  <c r="U140" i="1" s="1"/>
  <c r="CX32" i="3"/>
  <c r="CX33" i="3"/>
  <c r="CW34" i="3"/>
  <c r="V140" i="1" s="1"/>
  <c r="G217" i="7" s="1"/>
  <c r="CX34" i="3"/>
  <c r="CM101" i="1"/>
  <c r="BD106" i="1"/>
  <c r="CL101" i="1"/>
  <c r="BC106" i="1"/>
  <c r="CK101" i="1"/>
  <c r="BB106" i="1"/>
  <c r="CJ101" i="1"/>
  <c r="BA106" i="1"/>
  <c r="CI101" i="1"/>
  <c r="AZ106" i="1"/>
  <c r="CG101" i="1"/>
  <c r="AX106" i="1"/>
  <c r="CD101" i="1"/>
  <c r="AU106" i="1"/>
  <c r="CB101" i="1"/>
  <c r="AS106" i="1"/>
  <c r="BZ101" i="1"/>
  <c r="AQ106" i="1"/>
  <c r="BY101" i="1"/>
  <c r="AP106" i="1"/>
  <c r="BX101" i="1"/>
  <c r="AO106" i="1"/>
  <c r="AJ101" i="1"/>
  <c r="W106" i="1"/>
  <c r="AG101" i="1"/>
  <c r="T106" i="1"/>
  <c r="AB104" i="1"/>
  <c r="AB103" i="1"/>
  <c r="CU11" i="3"/>
  <c r="CV11" i="3"/>
  <c r="U103" i="1" s="1"/>
  <c r="CX11" i="3"/>
  <c r="CX12" i="3"/>
  <c r="CW13" i="3"/>
  <c r="CX13" i="3"/>
  <c r="CW14" i="3"/>
  <c r="CX14" i="3"/>
  <c r="CW15" i="3"/>
  <c r="CX15" i="3"/>
  <c r="CW16" i="3"/>
  <c r="CX16" i="3"/>
  <c r="CX17" i="3"/>
  <c r="CX18" i="3"/>
  <c r="CX19" i="3"/>
  <c r="CX20" i="3"/>
  <c r="CX21" i="3"/>
  <c r="CX22" i="3"/>
  <c r="CM60" i="1"/>
  <c r="BD69" i="1"/>
  <c r="CL60" i="1"/>
  <c r="BC69" i="1"/>
  <c r="CK60" i="1"/>
  <c r="BB69" i="1"/>
  <c r="CJ60" i="1"/>
  <c r="BA69" i="1"/>
  <c r="CI60" i="1"/>
  <c r="AZ69" i="1"/>
  <c r="CG60" i="1"/>
  <c r="AX69" i="1"/>
  <c r="CD60" i="1"/>
  <c r="AU69" i="1"/>
  <c r="CC60" i="1"/>
  <c r="AT69" i="1"/>
  <c r="BZ60" i="1"/>
  <c r="AQ69" i="1"/>
  <c r="BY60" i="1"/>
  <c r="AP69" i="1"/>
  <c r="BX60" i="1"/>
  <c r="AO69" i="1"/>
  <c r="AJ60" i="1"/>
  <c r="W69" i="1"/>
  <c r="AG60" i="1"/>
  <c r="T69" i="1"/>
  <c r="CP67" i="1"/>
  <c r="O67" i="1" s="1"/>
  <c r="GM67" i="1" s="1"/>
  <c r="GN67" i="1" s="1"/>
  <c r="AB67" i="1"/>
  <c r="AB66" i="1"/>
  <c r="CU5" i="3"/>
  <c r="CV5" i="3"/>
  <c r="CX5" i="3"/>
  <c r="CU6" i="3"/>
  <c r="CV6" i="3"/>
  <c r="CX6" i="3"/>
  <c r="CX7" i="3"/>
  <c r="CW8" i="3"/>
  <c r="V66" i="1" s="1"/>
  <c r="CX8" i="3"/>
  <c r="CX9" i="3"/>
  <c r="CX10" i="3"/>
  <c r="CP65" i="1"/>
  <c r="O65" i="1" s="1"/>
  <c r="GM65" i="1" s="1"/>
  <c r="GN65" i="1" s="1"/>
  <c r="AB65" i="1"/>
  <c r="AB64" i="1"/>
  <c r="CU3" i="3"/>
  <c r="CV3" i="3"/>
  <c r="U64" i="1" s="1"/>
  <c r="G77" i="7" s="1"/>
  <c r="CX3" i="3"/>
  <c r="CX4" i="3"/>
  <c r="AB63" i="1"/>
  <c r="CU2" i="3"/>
  <c r="CV2" i="3"/>
  <c r="U63" i="1" s="1"/>
  <c r="G68" i="7" s="1"/>
  <c r="CX2" i="3"/>
  <c r="AB62" i="1"/>
  <c r="CU1" i="3"/>
  <c r="CV1" i="3"/>
  <c r="U62" i="1" s="1"/>
  <c r="G58" i="7" s="1"/>
  <c r="CX1" i="3"/>
  <c r="AI69" i="1" l="1"/>
  <c r="G91" i="7"/>
  <c r="AH106" i="1"/>
  <c r="G138" i="7"/>
  <c r="AH147" i="1"/>
  <c r="G214" i="7"/>
  <c r="BU411" i="7"/>
  <c r="BV411" i="7" s="1"/>
  <c r="BR411" i="7"/>
  <c r="I411" i="7"/>
  <c r="BU402" i="7"/>
  <c r="BV402" i="7" s="1"/>
  <c r="BR402" i="7"/>
  <c r="I402" i="7"/>
  <c r="L426" i="7"/>
  <c r="L510" i="7"/>
  <c r="AN393" i="7"/>
  <c r="K393" i="7"/>
  <c r="L521" i="7"/>
  <c r="L509" i="7"/>
  <c r="L507" i="7" s="1"/>
  <c r="L437" i="7"/>
  <c r="L425" i="7"/>
  <c r="L423" i="7" s="1"/>
  <c r="L390" i="7"/>
  <c r="L364" i="7"/>
  <c r="L362" i="7" s="1"/>
  <c r="L353" i="7" s="1"/>
  <c r="L376" i="7" s="1"/>
  <c r="L489" i="7"/>
  <c r="L487" i="7" s="1"/>
  <c r="AO294" i="7"/>
  <c r="L290" i="7"/>
  <c r="L291" i="7"/>
  <c r="AO280" i="7"/>
  <c r="AN280" i="7"/>
  <c r="K280" i="7"/>
  <c r="I280" i="7" s="1"/>
  <c r="L276" i="7"/>
  <c r="L277" i="7"/>
  <c r="AO261" i="7"/>
  <c r="L257" i="7"/>
  <c r="L258" i="7"/>
  <c r="AO238" i="7"/>
  <c r="L234" i="7"/>
  <c r="L235" i="7"/>
  <c r="AO224" i="7"/>
  <c r="L313" i="7" s="1"/>
  <c r="L220" i="7"/>
  <c r="L315" i="7"/>
  <c r="L322" i="7"/>
  <c r="L310" i="7"/>
  <c r="L221" i="7"/>
  <c r="AO178" i="7"/>
  <c r="AN178" i="7"/>
  <c r="K178" i="7"/>
  <c r="I178" i="7" s="1"/>
  <c r="L174" i="7"/>
  <c r="L175" i="7"/>
  <c r="AO158" i="7"/>
  <c r="L154" i="7"/>
  <c r="L485" i="7"/>
  <c r="L187" i="7"/>
  <c r="L492" i="7"/>
  <c r="L480" i="7"/>
  <c r="L194" i="7"/>
  <c r="L182" i="7"/>
  <c r="L155" i="7"/>
  <c r="AO101" i="7"/>
  <c r="L96" i="7"/>
  <c r="K41" i="7"/>
  <c r="L534" i="7"/>
  <c r="L465" i="7"/>
  <c r="L110" i="7"/>
  <c r="L98" i="7"/>
  <c r="L538" i="7"/>
  <c r="L536" i="7" s="1"/>
  <c r="L469" i="7"/>
  <c r="L467" i="7" s="1"/>
  <c r="L114" i="7"/>
  <c r="L112" i="7" s="1"/>
  <c r="K40" i="7"/>
  <c r="L541" i="7"/>
  <c r="L529" i="7"/>
  <c r="L472" i="7"/>
  <c r="L460" i="7"/>
  <c r="L117" i="7"/>
  <c r="L105" i="7"/>
  <c r="L61" i="7"/>
  <c r="DF1" i="3"/>
  <c r="P62" i="1" s="1"/>
  <c r="DG1" i="3"/>
  <c r="Q62" i="1" s="1"/>
  <c r="DH1" i="3"/>
  <c r="R62" i="1" s="1"/>
  <c r="DI1" i="3"/>
  <c r="DF2" i="3"/>
  <c r="P63" i="1" s="1"/>
  <c r="DG2" i="3"/>
  <c r="Q63" i="1" s="1"/>
  <c r="DH2" i="3"/>
  <c r="R63" i="1" s="1"/>
  <c r="DI2" i="3"/>
  <c r="DF4" i="3"/>
  <c r="DJ4" i="3" s="1"/>
  <c r="DG4" i="3"/>
  <c r="DH4" i="3"/>
  <c r="DI4" i="3"/>
  <c r="DF3" i="3"/>
  <c r="P64" i="1" s="1"/>
  <c r="DG3" i="3"/>
  <c r="Q64" i="1" s="1"/>
  <c r="DH3" i="3"/>
  <c r="R64" i="1" s="1"/>
  <c r="DI3" i="3"/>
  <c r="DF10" i="3"/>
  <c r="DJ10" i="3" s="1"/>
  <c r="DG10" i="3"/>
  <c r="DH10" i="3"/>
  <c r="DI10" i="3"/>
  <c r="DF9" i="3"/>
  <c r="DJ9" i="3" s="1"/>
  <c r="DG9" i="3"/>
  <c r="DH9" i="3"/>
  <c r="DI9" i="3"/>
  <c r="DF8" i="3"/>
  <c r="DG8" i="3"/>
  <c r="DH8" i="3"/>
  <c r="DI8" i="3"/>
  <c r="AI60" i="1"/>
  <c r="V69" i="1"/>
  <c r="DF7" i="3"/>
  <c r="DG7" i="3"/>
  <c r="DH7" i="3"/>
  <c r="DI7" i="3"/>
  <c r="DJ7" i="3" s="1"/>
  <c r="DF6" i="3"/>
  <c r="DG6" i="3"/>
  <c r="DH6" i="3"/>
  <c r="DI6" i="3"/>
  <c r="DJ6" i="3" s="1"/>
  <c r="DF5" i="3"/>
  <c r="P66" i="1" s="1"/>
  <c r="DG5" i="3"/>
  <c r="Q66" i="1" s="1"/>
  <c r="DH5" i="3"/>
  <c r="R66" i="1" s="1"/>
  <c r="DI5" i="3"/>
  <c r="U66" i="1"/>
  <c r="T60" i="1"/>
  <c r="F90" i="1"/>
  <c r="T256" i="1"/>
  <c r="W60" i="1"/>
  <c r="F93" i="1"/>
  <c r="W256" i="1"/>
  <c r="AO60" i="1"/>
  <c r="F73" i="1"/>
  <c r="AO256" i="1"/>
  <c r="AP60" i="1"/>
  <c r="F78" i="1"/>
  <c r="AP256" i="1"/>
  <c r="AQ60" i="1"/>
  <c r="F79" i="1"/>
  <c r="AQ256" i="1"/>
  <c r="AT60" i="1"/>
  <c r="F87" i="1"/>
  <c r="AU60" i="1"/>
  <c r="F88" i="1"/>
  <c r="AX60" i="1"/>
  <c r="F76" i="1"/>
  <c r="AX256" i="1"/>
  <c r="AZ60" i="1"/>
  <c r="F80" i="1"/>
  <c r="AZ256" i="1"/>
  <c r="BA60" i="1"/>
  <c r="F89" i="1"/>
  <c r="BA256" i="1"/>
  <c r="BB60" i="1"/>
  <c r="F82" i="1"/>
  <c r="BB256" i="1"/>
  <c r="BC60" i="1"/>
  <c r="F85" i="1"/>
  <c r="BC256" i="1"/>
  <c r="BD60" i="1"/>
  <c r="F94" i="1"/>
  <c r="BD256" i="1"/>
  <c r="DF22" i="3"/>
  <c r="DJ22" i="3" s="1"/>
  <c r="DG22" i="3"/>
  <c r="DH22" i="3"/>
  <c r="DI22" i="3"/>
  <c r="DF21" i="3"/>
  <c r="DJ21" i="3" s="1"/>
  <c r="DG21" i="3"/>
  <c r="DH21" i="3"/>
  <c r="DI21" i="3"/>
  <c r="DF20" i="3"/>
  <c r="DJ20" i="3" s="1"/>
  <c r="DG20" i="3"/>
  <c r="DH20" i="3"/>
  <c r="DI20" i="3"/>
  <c r="DF19" i="3"/>
  <c r="DJ19" i="3" s="1"/>
  <c r="DG19" i="3"/>
  <c r="DH19" i="3"/>
  <c r="DI19" i="3"/>
  <c r="DF18" i="3"/>
  <c r="DJ18" i="3" s="1"/>
  <c r="DG18" i="3"/>
  <c r="DH18" i="3"/>
  <c r="DI18" i="3"/>
  <c r="DF17" i="3"/>
  <c r="DJ17" i="3" s="1"/>
  <c r="DG17" i="3"/>
  <c r="DH17" i="3"/>
  <c r="DI17" i="3"/>
  <c r="DF16" i="3"/>
  <c r="DG16" i="3"/>
  <c r="DH16" i="3"/>
  <c r="DI16" i="3"/>
  <c r="DF15" i="3"/>
  <c r="DG15" i="3"/>
  <c r="DH15" i="3"/>
  <c r="DI15" i="3"/>
  <c r="DF14" i="3"/>
  <c r="DG14" i="3"/>
  <c r="DH14" i="3"/>
  <c r="DI14" i="3"/>
  <c r="DF13" i="3"/>
  <c r="DG13" i="3"/>
  <c r="DH13" i="3"/>
  <c r="DI13" i="3"/>
  <c r="V103" i="1"/>
  <c r="DF12" i="3"/>
  <c r="DG12" i="3"/>
  <c r="DH12" i="3"/>
  <c r="DI12" i="3"/>
  <c r="DJ12" i="3" s="1"/>
  <c r="DF11" i="3"/>
  <c r="P103" i="1" s="1"/>
  <c r="DG11" i="3"/>
  <c r="Q103" i="1" s="1"/>
  <c r="AD106" i="1" s="1"/>
  <c r="DH11" i="3"/>
  <c r="R103" i="1" s="1"/>
  <c r="AE106" i="1" s="1"/>
  <c r="DI11" i="3"/>
  <c r="AH101" i="1"/>
  <c r="U106" i="1"/>
  <c r="T101" i="1"/>
  <c r="F127" i="1"/>
  <c r="W101" i="1"/>
  <c r="F130" i="1"/>
  <c r="AO101" i="1"/>
  <c r="F110" i="1"/>
  <c r="AP101" i="1"/>
  <c r="F115" i="1"/>
  <c r="AQ101" i="1"/>
  <c r="F116" i="1"/>
  <c r="AS101" i="1"/>
  <c r="F123" i="1"/>
  <c r="AU101" i="1"/>
  <c r="F125" i="1"/>
  <c r="AX101" i="1"/>
  <c r="F113" i="1"/>
  <c r="AZ101" i="1"/>
  <c r="F117" i="1"/>
  <c r="BA101" i="1"/>
  <c r="F126" i="1"/>
  <c r="BB101" i="1"/>
  <c r="F119" i="1"/>
  <c r="BC101" i="1"/>
  <c r="F122" i="1"/>
  <c r="BD101" i="1"/>
  <c r="F131" i="1"/>
  <c r="DF34" i="3"/>
  <c r="DG34" i="3"/>
  <c r="DH34" i="3"/>
  <c r="DI34" i="3"/>
  <c r="DF33" i="3"/>
  <c r="DG33" i="3"/>
  <c r="DH33" i="3"/>
  <c r="DI33" i="3"/>
  <c r="DJ33" i="3" s="1"/>
  <c r="DF32" i="3"/>
  <c r="P140" i="1" s="1"/>
  <c r="DG32" i="3"/>
  <c r="Q140" i="1" s="1"/>
  <c r="DH32" i="3"/>
  <c r="R140" i="1" s="1"/>
  <c r="DI32" i="3"/>
  <c r="AH138" i="1"/>
  <c r="U147" i="1"/>
  <c r="DF38" i="3"/>
  <c r="DJ38" i="3" s="1"/>
  <c r="DG38" i="3"/>
  <c r="DH38" i="3"/>
  <c r="DI38" i="3"/>
  <c r="DF37" i="3"/>
  <c r="DG37" i="3"/>
  <c r="DH37" i="3"/>
  <c r="DI37" i="3"/>
  <c r="DF36" i="3"/>
  <c r="DG36" i="3"/>
  <c r="DH36" i="3"/>
  <c r="DI36" i="3"/>
  <c r="DJ36" i="3" s="1"/>
  <c r="DF35" i="3"/>
  <c r="P141" i="1" s="1"/>
  <c r="DG35" i="3"/>
  <c r="Q141" i="1" s="1"/>
  <c r="DH35" i="3"/>
  <c r="R141" i="1" s="1"/>
  <c r="DI35" i="3"/>
  <c r="DF50" i="3"/>
  <c r="DJ50" i="3" s="1"/>
  <c r="DG50" i="3"/>
  <c r="DH50" i="3"/>
  <c r="DI50" i="3"/>
  <c r="DF49" i="3"/>
  <c r="DJ49" i="3" s="1"/>
  <c r="DG49" i="3"/>
  <c r="DH49" i="3"/>
  <c r="DI49" i="3"/>
  <c r="DF48" i="3"/>
  <c r="DJ48" i="3" s="1"/>
  <c r="DG48" i="3"/>
  <c r="DH48" i="3"/>
  <c r="DI48" i="3"/>
  <c r="DF47" i="3"/>
  <c r="DJ47" i="3" s="1"/>
  <c r="DG47" i="3"/>
  <c r="DH47" i="3"/>
  <c r="DI47" i="3"/>
  <c r="DF46" i="3"/>
  <c r="DJ46" i="3" s="1"/>
  <c r="DG46" i="3"/>
  <c r="DH46" i="3"/>
  <c r="DI46" i="3"/>
  <c r="DF45" i="3"/>
  <c r="DJ45" i="3" s="1"/>
  <c r="DG45" i="3"/>
  <c r="DH45" i="3"/>
  <c r="DI45" i="3"/>
  <c r="DF44" i="3"/>
  <c r="DG44" i="3"/>
  <c r="DH44" i="3"/>
  <c r="DI44" i="3"/>
  <c r="DF43" i="3"/>
  <c r="DG43" i="3"/>
  <c r="DH43" i="3"/>
  <c r="DI43" i="3"/>
  <c r="DF42" i="3"/>
  <c r="DG42" i="3"/>
  <c r="DH42" i="3"/>
  <c r="DI42" i="3"/>
  <c r="DF41" i="3"/>
  <c r="DG41" i="3"/>
  <c r="DH41" i="3"/>
  <c r="DI41" i="3"/>
  <c r="V142" i="1"/>
  <c r="DF40" i="3"/>
  <c r="DG40" i="3"/>
  <c r="DH40" i="3"/>
  <c r="DI40" i="3"/>
  <c r="DJ40" i="3" s="1"/>
  <c r="DF39" i="3"/>
  <c r="P142" i="1" s="1"/>
  <c r="DG39" i="3"/>
  <c r="Q142" i="1" s="1"/>
  <c r="DH39" i="3"/>
  <c r="R142" i="1" s="1"/>
  <c r="DI39" i="3"/>
  <c r="DF63" i="3"/>
  <c r="DJ63" i="3" s="1"/>
  <c r="DG63" i="3"/>
  <c r="DH63" i="3"/>
  <c r="DI63" i="3"/>
  <c r="DF62" i="3"/>
  <c r="DG62" i="3"/>
  <c r="DH62" i="3"/>
  <c r="DI62" i="3"/>
  <c r="DF61" i="3"/>
  <c r="DG61" i="3"/>
  <c r="DH61" i="3"/>
  <c r="DI61" i="3"/>
  <c r="DJ61" i="3" s="1"/>
  <c r="DF60" i="3"/>
  <c r="P144" i="1" s="1"/>
  <c r="DG60" i="3"/>
  <c r="Q144" i="1" s="1"/>
  <c r="DH60" i="3"/>
  <c r="R144" i="1" s="1"/>
  <c r="DI60" i="3"/>
  <c r="T138" i="1"/>
  <c r="F168" i="1"/>
  <c r="W138" i="1"/>
  <c r="F171" i="1"/>
  <c r="AO138" i="1"/>
  <c r="F151" i="1"/>
  <c r="AP138" i="1"/>
  <c r="F156" i="1"/>
  <c r="AQ138" i="1"/>
  <c r="F157" i="1"/>
  <c r="AS138" i="1"/>
  <c r="F164" i="1"/>
  <c r="AU138" i="1"/>
  <c r="F166" i="1"/>
  <c r="AX138" i="1"/>
  <c r="F154" i="1"/>
  <c r="AZ138" i="1"/>
  <c r="F158" i="1"/>
  <c r="BA138" i="1"/>
  <c r="F167" i="1"/>
  <c r="BB138" i="1"/>
  <c r="F160" i="1"/>
  <c r="BC138" i="1"/>
  <c r="F163" i="1"/>
  <c r="BD138" i="1"/>
  <c r="F172" i="1"/>
  <c r="GM181" i="1"/>
  <c r="AB187" i="1"/>
  <c r="CB179" i="1"/>
  <c r="AS187" i="1"/>
  <c r="P179" i="1"/>
  <c r="F190" i="1"/>
  <c r="Q179" i="1"/>
  <c r="F199" i="1"/>
  <c r="R179" i="1"/>
  <c r="F201" i="1"/>
  <c r="S179" i="1"/>
  <c r="F202" i="1"/>
  <c r="T179" i="1"/>
  <c r="F208" i="1"/>
  <c r="U179" i="1"/>
  <c r="F209" i="1"/>
  <c r="V179" i="1"/>
  <c r="F210" i="1"/>
  <c r="W179" i="1"/>
  <c r="F211" i="1"/>
  <c r="X179" i="1"/>
  <c r="F213" i="1"/>
  <c r="Y179" i="1"/>
  <c r="F214" i="1"/>
  <c r="AO179" i="1"/>
  <c r="F191" i="1"/>
  <c r="AP179" i="1"/>
  <c r="F196" i="1"/>
  <c r="AQ179" i="1"/>
  <c r="F197" i="1"/>
  <c r="AU179" i="1"/>
  <c r="F206" i="1"/>
  <c r="AV179" i="1"/>
  <c r="F192" i="1"/>
  <c r="AW179" i="1"/>
  <c r="F193" i="1"/>
  <c r="AX179" i="1"/>
  <c r="F194" i="1"/>
  <c r="AY179" i="1"/>
  <c r="F195" i="1"/>
  <c r="AZ179" i="1"/>
  <c r="F198" i="1"/>
  <c r="BA179" i="1"/>
  <c r="F207" i="1"/>
  <c r="BB179" i="1"/>
  <c r="F200" i="1"/>
  <c r="BC179" i="1"/>
  <c r="F203" i="1"/>
  <c r="BD179" i="1"/>
  <c r="F212" i="1"/>
  <c r="DF75" i="3"/>
  <c r="DG75" i="3"/>
  <c r="DH75" i="3"/>
  <c r="DI75" i="3"/>
  <c r="DJ75" i="3" s="1"/>
  <c r="DF74" i="3"/>
  <c r="P224" i="1" s="1"/>
  <c r="DG74" i="3"/>
  <c r="Q224" i="1" s="1"/>
  <c r="AD226" i="1" s="1"/>
  <c r="DH74" i="3"/>
  <c r="R224" i="1" s="1"/>
  <c r="AE226" i="1" s="1"/>
  <c r="DI74" i="3"/>
  <c r="U224" i="1"/>
  <c r="T219" i="1"/>
  <c r="F247" i="1"/>
  <c r="V219" i="1"/>
  <c r="F249" i="1"/>
  <c r="G451" i="7" s="1"/>
  <c r="W219" i="1"/>
  <c r="F250" i="1"/>
  <c r="AO219" i="1"/>
  <c r="F230" i="1"/>
  <c r="AP219" i="1"/>
  <c r="F235" i="1"/>
  <c r="AQ219" i="1"/>
  <c r="F236" i="1"/>
  <c r="AS219" i="1"/>
  <c r="F243" i="1"/>
  <c r="AT219" i="1"/>
  <c r="F244" i="1"/>
  <c r="AX219" i="1"/>
  <c r="F233" i="1"/>
  <c r="AZ219" i="1"/>
  <c r="F237" i="1"/>
  <c r="BA219" i="1"/>
  <c r="F246" i="1"/>
  <c r="BB219" i="1"/>
  <c r="F239" i="1"/>
  <c r="BC219" i="1"/>
  <c r="F242" i="1"/>
  <c r="BD219" i="1"/>
  <c r="F251" i="1"/>
  <c r="AH226" i="1" l="1"/>
  <c r="G414" i="7"/>
  <c r="AI147" i="1"/>
  <c r="G244" i="7"/>
  <c r="AI106" i="1"/>
  <c r="G141" i="7"/>
  <c r="AH69" i="1"/>
  <c r="G87" i="7"/>
  <c r="L532" i="7"/>
  <c r="L530" i="7" s="1"/>
  <c r="L527" i="7" s="1"/>
  <c r="L463" i="7"/>
  <c r="L461" i="7" s="1"/>
  <c r="L458" i="7" s="1"/>
  <c r="L108" i="7"/>
  <c r="L106" i="7" s="1"/>
  <c r="L103" i="7" s="1"/>
  <c r="L483" i="7"/>
  <c r="L481" i="7" s="1"/>
  <c r="L478" i="7" s="1"/>
  <c r="L185" i="7"/>
  <c r="L183" i="7" s="1"/>
  <c r="L180" i="7" s="1"/>
  <c r="L311" i="7"/>
  <c r="L308" i="7" s="1"/>
  <c r="BU393" i="7"/>
  <c r="BV393" i="7" s="1"/>
  <c r="BR393" i="7"/>
  <c r="I393" i="7"/>
  <c r="AH219" i="1"/>
  <c r="U226" i="1"/>
  <c r="DJ74" i="3"/>
  <c r="S224" i="1"/>
  <c r="AE219" i="1"/>
  <c r="R226" i="1"/>
  <c r="AD219" i="1"/>
  <c r="Q226" i="1"/>
  <c r="CP224" i="1"/>
  <c r="O224" i="1" s="1"/>
  <c r="AC226" i="1"/>
  <c r="AS179" i="1"/>
  <c r="F204" i="1"/>
  <c r="AB179" i="1"/>
  <c r="O187" i="1"/>
  <c r="GO181" i="1"/>
  <c r="CC187" i="1" s="1"/>
  <c r="CA187" i="1"/>
  <c r="DJ60" i="3"/>
  <c r="S144" i="1"/>
  <c r="CP144" i="1"/>
  <c r="O144" i="1" s="1"/>
  <c r="DJ62" i="3"/>
  <c r="DJ39" i="3"/>
  <c r="S142" i="1"/>
  <c r="CP142" i="1"/>
  <c r="O142" i="1" s="1"/>
  <c r="AI138" i="1"/>
  <c r="V147" i="1"/>
  <c r="DJ41" i="3"/>
  <c r="DJ42" i="3"/>
  <c r="DJ43" i="3"/>
  <c r="DJ44" i="3"/>
  <c r="DJ35" i="3"/>
  <c r="S141" i="1"/>
  <c r="CP141" i="1"/>
  <c r="O141" i="1" s="1"/>
  <c r="DJ37" i="3"/>
  <c r="U138" i="1"/>
  <c r="F169" i="1"/>
  <c r="G335" i="7" s="1"/>
  <c r="DJ32" i="3"/>
  <c r="S140" i="1"/>
  <c r="AE147" i="1"/>
  <c r="AD147" i="1"/>
  <c r="CP140" i="1"/>
  <c r="O140" i="1" s="1"/>
  <c r="AC147" i="1"/>
  <c r="DJ34" i="3"/>
  <c r="U101" i="1"/>
  <c r="F128" i="1"/>
  <c r="G207" i="7" s="1"/>
  <c r="DJ11" i="3"/>
  <c r="S103" i="1"/>
  <c r="AE101" i="1"/>
  <c r="R106" i="1"/>
  <c r="AD101" i="1"/>
  <c r="Q106" i="1"/>
  <c r="CP103" i="1"/>
  <c r="O103" i="1" s="1"/>
  <c r="AC106" i="1"/>
  <c r="AI101" i="1"/>
  <c r="V106" i="1"/>
  <c r="DJ13" i="3"/>
  <c r="DJ14" i="3"/>
  <c r="DJ15" i="3"/>
  <c r="DJ16" i="3"/>
  <c r="BD56" i="1"/>
  <c r="F281" i="1"/>
  <c r="BD289" i="1"/>
  <c r="BC56" i="1"/>
  <c r="F272" i="1"/>
  <c r="BC289" i="1"/>
  <c r="BB56" i="1"/>
  <c r="F269" i="1"/>
  <c r="BB289" i="1"/>
  <c r="BA56" i="1"/>
  <c r="F276" i="1"/>
  <c r="BA289" i="1"/>
  <c r="AZ56" i="1"/>
  <c r="F267" i="1"/>
  <c r="AZ289" i="1"/>
  <c r="AX56" i="1"/>
  <c r="F263" i="1"/>
  <c r="AX289" i="1"/>
  <c r="AQ56" i="1"/>
  <c r="F266" i="1"/>
  <c r="AQ289" i="1"/>
  <c r="AP56" i="1"/>
  <c r="F265" i="1"/>
  <c r="AP289" i="1"/>
  <c r="AO56" i="1"/>
  <c r="F260" i="1"/>
  <c r="AO289" i="1"/>
  <c r="W56" i="1"/>
  <c r="F280" i="1"/>
  <c r="W289" i="1"/>
  <c r="T56" i="1"/>
  <c r="F277" i="1"/>
  <c r="T289" i="1"/>
  <c r="AH60" i="1"/>
  <c r="U69" i="1"/>
  <c r="DJ5" i="3"/>
  <c r="S66" i="1"/>
  <c r="CP66" i="1"/>
  <c r="O66" i="1" s="1"/>
  <c r="V60" i="1"/>
  <c r="F92" i="1"/>
  <c r="G131" i="7" s="1"/>
  <c r="V256" i="1"/>
  <c r="DJ8" i="3"/>
  <c r="DJ3" i="3"/>
  <c r="S64" i="1"/>
  <c r="CP64" i="1"/>
  <c r="O64" i="1" s="1"/>
  <c r="DJ2" i="3"/>
  <c r="S63" i="1"/>
  <c r="CP63" i="1"/>
  <c r="O63" i="1" s="1"/>
  <c r="DJ1" i="3"/>
  <c r="S62" i="1"/>
  <c r="AE69" i="1"/>
  <c r="AD69" i="1"/>
  <c r="CP62" i="1"/>
  <c r="O62" i="1" s="1"/>
  <c r="AC69" i="1"/>
  <c r="G16" i="2" l="1"/>
  <c r="G18" i="2" s="1"/>
  <c r="C44" i="7"/>
  <c r="AC60" i="1"/>
  <c r="P69" i="1"/>
  <c r="CE69" i="1"/>
  <c r="CF69" i="1"/>
  <c r="CH69" i="1"/>
  <c r="AB69" i="1"/>
  <c r="AD60" i="1"/>
  <c r="Q69" i="1"/>
  <c r="AE60" i="1"/>
  <c r="R69" i="1"/>
  <c r="CY62" i="1"/>
  <c r="X62" i="1" s="1"/>
  <c r="AZ64" i="7" s="1"/>
  <c r="CZ62" i="1"/>
  <c r="Y62" i="1" s="1"/>
  <c r="BA64" i="7" s="1"/>
  <c r="AF69" i="1"/>
  <c r="CY63" i="1"/>
  <c r="X63" i="1" s="1"/>
  <c r="AZ74" i="7" s="1"/>
  <c r="L72" i="7" s="1"/>
  <c r="CZ63" i="1"/>
  <c r="Y63" i="1" s="1"/>
  <c r="BA74" i="7" s="1"/>
  <c r="L73" i="7" s="1"/>
  <c r="CY64" i="1"/>
  <c r="X64" i="1" s="1"/>
  <c r="AZ84" i="7" s="1"/>
  <c r="L82" i="7" s="1"/>
  <c r="CZ64" i="1"/>
  <c r="Y64" i="1" s="1"/>
  <c r="BA84" i="7" s="1"/>
  <c r="L83" i="7" s="1"/>
  <c r="V56" i="1"/>
  <c r="F279" i="1"/>
  <c r="V289" i="1"/>
  <c r="CY66" i="1"/>
  <c r="X66" i="1" s="1"/>
  <c r="AZ101" i="7" s="1"/>
  <c r="L99" i="7" s="1"/>
  <c r="CZ66" i="1"/>
  <c r="Y66" i="1" s="1"/>
  <c r="BA101" i="7" s="1"/>
  <c r="L100" i="7" s="1"/>
  <c r="U60" i="1"/>
  <c r="F91" i="1"/>
  <c r="G130" i="7" s="1"/>
  <c r="U256" i="1"/>
  <c r="T18" i="1"/>
  <c r="F310" i="1"/>
  <c r="W18" i="1"/>
  <c r="F313" i="1"/>
  <c r="AO18" i="1"/>
  <c r="F293" i="1"/>
  <c r="AP18" i="1"/>
  <c r="F298" i="1"/>
  <c r="AQ18" i="1"/>
  <c r="F299" i="1"/>
  <c r="AX18" i="1"/>
  <c r="F296" i="1"/>
  <c r="AZ18" i="1"/>
  <c r="F300" i="1"/>
  <c r="BA18" i="1"/>
  <c r="F309" i="1"/>
  <c r="BB18" i="1"/>
  <c r="F302" i="1"/>
  <c r="BC18" i="1"/>
  <c r="F305" i="1"/>
  <c r="BD18" i="1"/>
  <c r="F314" i="1"/>
  <c r="V101" i="1"/>
  <c r="F129" i="1"/>
  <c r="G208" i="7" s="1"/>
  <c r="AC101" i="1"/>
  <c r="P106" i="1"/>
  <c r="CE106" i="1"/>
  <c r="CF106" i="1"/>
  <c r="CH106" i="1"/>
  <c r="AB106" i="1"/>
  <c r="Q101" i="1"/>
  <c r="F118" i="1"/>
  <c r="R101" i="1"/>
  <c r="F120" i="1"/>
  <c r="CY103" i="1"/>
  <c r="X103" i="1" s="1"/>
  <c r="AZ158" i="7" s="1"/>
  <c r="CZ103" i="1"/>
  <c r="Y103" i="1" s="1"/>
  <c r="AF106" i="1"/>
  <c r="AC138" i="1"/>
  <c r="P147" i="1"/>
  <c r="CE147" i="1"/>
  <c r="CF147" i="1"/>
  <c r="CH147" i="1"/>
  <c r="AB147" i="1"/>
  <c r="AD138" i="1"/>
  <c r="Q147" i="1"/>
  <c r="AE138" i="1"/>
  <c r="R147" i="1"/>
  <c r="CY140" i="1"/>
  <c r="X140" i="1" s="1"/>
  <c r="AZ224" i="7" s="1"/>
  <c r="CZ140" i="1"/>
  <c r="Y140" i="1" s="1"/>
  <c r="BA224" i="7" s="1"/>
  <c r="AF147" i="1"/>
  <c r="CY141" i="1"/>
  <c r="X141" i="1" s="1"/>
  <c r="AZ238" i="7" s="1"/>
  <c r="L236" i="7" s="1"/>
  <c r="CZ141" i="1"/>
  <c r="Y141" i="1" s="1"/>
  <c r="BA238" i="7" s="1"/>
  <c r="L237" i="7" s="1"/>
  <c r="V138" i="1"/>
  <c r="F170" i="1"/>
  <c r="G336" i="7" s="1"/>
  <c r="CY142" i="1"/>
  <c r="X142" i="1" s="1"/>
  <c r="AZ261" i="7" s="1"/>
  <c r="L259" i="7" s="1"/>
  <c r="CZ142" i="1"/>
  <c r="Y142" i="1" s="1"/>
  <c r="BA261" i="7" s="1"/>
  <c r="L260" i="7" s="1"/>
  <c r="CY144" i="1"/>
  <c r="X144" i="1" s="1"/>
  <c r="AZ294" i="7" s="1"/>
  <c r="L292" i="7" s="1"/>
  <c r="CZ144" i="1"/>
  <c r="Y144" i="1" s="1"/>
  <c r="BA294" i="7" s="1"/>
  <c r="L293" i="7" s="1"/>
  <c r="CA179" i="1"/>
  <c r="AR187" i="1"/>
  <c r="CC179" i="1"/>
  <c r="AT187" i="1"/>
  <c r="O179" i="1"/>
  <c r="F189" i="1"/>
  <c r="AC219" i="1"/>
  <c r="P226" i="1"/>
  <c r="CE226" i="1"/>
  <c r="CF226" i="1"/>
  <c r="CH226" i="1"/>
  <c r="AB226" i="1"/>
  <c r="Q219" i="1"/>
  <c r="F238" i="1"/>
  <c r="R219" i="1"/>
  <c r="F240" i="1"/>
  <c r="CY224" i="1"/>
  <c r="X224" i="1" s="1"/>
  <c r="AZ421" i="7" s="1"/>
  <c r="CZ224" i="1"/>
  <c r="Y224" i="1" s="1"/>
  <c r="AF226" i="1"/>
  <c r="U219" i="1"/>
  <c r="F248" i="1"/>
  <c r="G450" i="7" s="1"/>
  <c r="AL226" i="1" l="1"/>
  <c r="BA421" i="7"/>
  <c r="L419" i="7"/>
  <c r="L522" i="7"/>
  <c r="L438" i="7"/>
  <c r="AN294" i="7"/>
  <c r="K294" i="7"/>
  <c r="I294" i="7" s="1"/>
  <c r="AN261" i="7"/>
  <c r="K261" i="7"/>
  <c r="I261" i="7" s="1"/>
  <c r="AN238" i="7"/>
  <c r="K238" i="7"/>
  <c r="I238" i="7" s="1"/>
  <c r="L324" i="7"/>
  <c r="L223" i="7"/>
  <c r="L323" i="7"/>
  <c r="L331" i="7" s="1"/>
  <c r="L222" i="7"/>
  <c r="AL106" i="1"/>
  <c r="BA158" i="7"/>
  <c r="L493" i="7"/>
  <c r="L195" i="7"/>
  <c r="L156" i="7"/>
  <c r="AN101" i="7"/>
  <c r="K101" i="7"/>
  <c r="I101" i="7" s="1"/>
  <c r="K43" i="7"/>
  <c r="G553" i="7"/>
  <c r="AN84" i="7"/>
  <c r="K84" i="7"/>
  <c r="I84" i="7" s="1"/>
  <c r="AN74" i="7"/>
  <c r="K74" i="7"/>
  <c r="I74" i="7" s="1"/>
  <c r="L543" i="7"/>
  <c r="L474" i="7"/>
  <c r="L119" i="7"/>
  <c r="L63" i="7"/>
  <c r="L542" i="7"/>
  <c r="L473" i="7"/>
  <c r="L456" i="7" s="1"/>
  <c r="L118" i="7"/>
  <c r="L126" i="7" s="1"/>
  <c r="L62" i="7"/>
  <c r="AF219" i="1"/>
  <c r="S226" i="1"/>
  <c r="AL219" i="1"/>
  <c r="Y226" i="1"/>
  <c r="AK226" i="1"/>
  <c r="GM224" i="1"/>
  <c r="AB219" i="1"/>
  <c r="O226" i="1"/>
  <c r="CH219" i="1"/>
  <c r="AY226" i="1"/>
  <c r="CF219" i="1"/>
  <c r="AW226" i="1"/>
  <c r="CE219" i="1"/>
  <c r="AV226" i="1"/>
  <c r="P219" i="1"/>
  <c r="F229" i="1"/>
  <c r="AT179" i="1"/>
  <c r="F205" i="1"/>
  <c r="AR179" i="1"/>
  <c r="F215" i="1"/>
  <c r="GM144" i="1"/>
  <c r="GO144" i="1" s="1"/>
  <c r="GM142" i="1"/>
  <c r="GO142" i="1" s="1"/>
  <c r="GM141" i="1"/>
  <c r="GO141" i="1" s="1"/>
  <c r="AF138" i="1"/>
  <c r="S147" i="1"/>
  <c r="AL147" i="1"/>
  <c r="AK147" i="1"/>
  <c r="GM140" i="1"/>
  <c r="R138" i="1"/>
  <c r="F161" i="1"/>
  <c r="Q138" i="1"/>
  <c r="F159" i="1"/>
  <c r="AB138" i="1"/>
  <c r="O147" i="1"/>
  <c r="CH138" i="1"/>
  <c r="AY147" i="1"/>
  <c r="CF138" i="1"/>
  <c r="AW147" i="1"/>
  <c r="CE138" i="1"/>
  <c r="AV147" i="1"/>
  <c r="P138" i="1"/>
  <c r="F150" i="1"/>
  <c r="AF101" i="1"/>
  <c r="S106" i="1"/>
  <c r="AL101" i="1"/>
  <c r="Y106" i="1"/>
  <c r="AK106" i="1"/>
  <c r="GM103" i="1"/>
  <c r="AB101" i="1"/>
  <c r="O106" i="1"/>
  <c r="CH101" i="1"/>
  <c r="AY106" i="1"/>
  <c r="CF101" i="1"/>
  <c r="AW106" i="1"/>
  <c r="CE101" i="1"/>
  <c r="AV106" i="1"/>
  <c r="P101" i="1"/>
  <c r="F109" i="1"/>
  <c r="U56" i="1"/>
  <c r="F278" i="1"/>
  <c r="U289" i="1"/>
  <c r="GM66" i="1"/>
  <c r="GN66" i="1" s="1"/>
  <c r="V18" i="1"/>
  <c r="F312" i="1"/>
  <c r="GM64" i="1"/>
  <c r="GN64" i="1" s="1"/>
  <c r="GM63" i="1"/>
  <c r="GN63" i="1" s="1"/>
  <c r="AF60" i="1"/>
  <c r="S69" i="1"/>
  <c r="AL69" i="1"/>
  <c r="AK69" i="1"/>
  <c r="GM62" i="1"/>
  <c r="R60" i="1"/>
  <c r="F83" i="1"/>
  <c r="R256" i="1"/>
  <c r="Q60" i="1"/>
  <c r="F81" i="1"/>
  <c r="Q256" i="1"/>
  <c r="AB60" i="1"/>
  <c r="O69" i="1"/>
  <c r="CH60" i="1"/>
  <c r="AY69" i="1"/>
  <c r="CF60" i="1"/>
  <c r="AW69" i="1"/>
  <c r="CE60" i="1"/>
  <c r="AV69" i="1"/>
  <c r="P60" i="1"/>
  <c r="F72" i="1"/>
  <c r="P256" i="1"/>
  <c r="K42" i="7" l="1"/>
  <c r="G552" i="7"/>
  <c r="AN64" i="7"/>
  <c r="K64" i="7"/>
  <c r="I64" i="7" s="1"/>
  <c r="L494" i="7"/>
  <c r="L476" i="7" s="1"/>
  <c r="L196" i="7"/>
  <c r="L203" i="7" s="1"/>
  <c r="L157" i="7"/>
  <c r="AN224" i="7"/>
  <c r="K224" i="7"/>
  <c r="I224" i="7" s="1"/>
  <c r="L420" i="7"/>
  <c r="L523" i="7"/>
  <c r="L439" i="7"/>
  <c r="L446" i="7" s="1"/>
  <c r="L525" i="7" s="1"/>
  <c r="P56" i="1"/>
  <c r="F259" i="1"/>
  <c r="P289" i="1"/>
  <c r="AV60" i="1"/>
  <c r="F74" i="1"/>
  <c r="AV256" i="1"/>
  <c r="AW60" i="1"/>
  <c r="F75" i="1"/>
  <c r="AW256" i="1"/>
  <c r="AY60" i="1"/>
  <c r="F77" i="1"/>
  <c r="AY256" i="1"/>
  <c r="O60" i="1"/>
  <c r="F71" i="1"/>
  <c r="O256" i="1"/>
  <c r="Q56" i="1"/>
  <c r="F268" i="1"/>
  <c r="Q289" i="1"/>
  <c r="R56" i="1"/>
  <c r="F270" i="1"/>
  <c r="R289" i="1"/>
  <c r="GN62" i="1"/>
  <c r="CB69" i="1" s="1"/>
  <c r="CA69" i="1"/>
  <c r="AK60" i="1"/>
  <c r="X69" i="1"/>
  <c r="AL60" i="1"/>
  <c r="Y69" i="1"/>
  <c r="S60" i="1"/>
  <c r="F84" i="1"/>
  <c r="S256" i="1"/>
  <c r="U18" i="1"/>
  <c r="F311" i="1"/>
  <c r="AV101" i="1"/>
  <c r="F111" i="1"/>
  <c r="AW101" i="1"/>
  <c r="F112" i="1"/>
  <c r="AY101" i="1"/>
  <c r="F114" i="1"/>
  <c r="O101" i="1"/>
  <c r="F108" i="1"/>
  <c r="GO103" i="1"/>
  <c r="CC106" i="1" s="1"/>
  <c r="CA106" i="1"/>
  <c r="AK101" i="1"/>
  <c r="X106" i="1"/>
  <c r="Y101" i="1"/>
  <c r="F133" i="1"/>
  <c r="S101" i="1"/>
  <c r="F121" i="1"/>
  <c r="AV138" i="1"/>
  <c r="F152" i="1"/>
  <c r="AW138" i="1"/>
  <c r="F153" i="1"/>
  <c r="AY138" i="1"/>
  <c r="F155" i="1"/>
  <c r="O138" i="1"/>
  <c r="F149" i="1"/>
  <c r="GO140" i="1"/>
  <c r="CC147" i="1" s="1"/>
  <c r="CA147" i="1"/>
  <c r="AK138" i="1"/>
  <c r="X147" i="1"/>
  <c r="AL138" i="1"/>
  <c r="Y147" i="1"/>
  <c r="S138" i="1"/>
  <c r="F162" i="1"/>
  <c r="AV219" i="1"/>
  <c r="F231" i="1"/>
  <c r="AW219" i="1"/>
  <c r="F232" i="1"/>
  <c r="AY219" i="1"/>
  <c r="F234" i="1"/>
  <c r="O219" i="1"/>
  <c r="F228" i="1"/>
  <c r="GP224" i="1"/>
  <c r="CD226" i="1" s="1"/>
  <c r="CA226" i="1"/>
  <c r="AK219" i="1"/>
  <c r="X226" i="1"/>
  <c r="Y219" i="1"/>
  <c r="F253" i="1"/>
  <c r="S219" i="1"/>
  <c r="F241" i="1"/>
  <c r="L505" i="7" l="1"/>
  <c r="L501" i="7"/>
  <c r="L548" i="7" s="1"/>
  <c r="AN421" i="7"/>
  <c r="K421" i="7"/>
  <c r="AN158" i="7"/>
  <c r="K158" i="7"/>
  <c r="I158" i="7" s="1"/>
  <c r="X219" i="1"/>
  <c r="F252" i="1"/>
  <c r="CA219" i="1"/>
  <c r="AR226" i="1"/>
  <c r="CD219" i="1"/>
  <c r="AU226" i="1"/>
  <c r="Y138" i="1"/>
  <c r="F174" i="1"/>
  <c r="X138" i="1"/>
  <c r="F173" i="1"/>
  <c r="CA138" i="1"/>
  <c r="AR147" i="1"/>
  <c r="CC138" i="1"/>
  <c r="AT147" i="1"/>
  <c r="X101" i="1"/>
  <c r="F132" i="1"/>
  <c r="CA101" i="1"/>
  <c r="AR106" i="1"/>
  <c r="CC101" i="1"/>
  <c r="AT106" i="1"/>
  <c r="S56" i="1"/>
  <c r="F271" i="1"/>
  <c r="J16" i="2" s="1"/>
  <c r="J18" i="2" s="1"/>
  <c r="S289" i="1"/>
  <c r="Y60" i="1"/>
  <c r="F96" i="1"/>
  <c r="Y256" i="1"/>
  <c r="X60" i="1"/>
  <c r="F95" i="1"/>
  <c r="X256" i="1"/>
  <c r="CA60" i="1"/>
  <c r="AR69" i="1"/>
  <c r="CB60" i="1"/>
  <c r="AS69" i="1"/>
  <c r="R18" i="1"/>
  <c r="F303" i="1"/>
  <c r="Q18" i="1"/>
  <c r="F301" i="1"/>
  <c r="O56" i="1"/>
  <c r="F258" i="1"/>
  <c r="O289" i="1"/>
  <c r="AY56" i="1"/>
  <c r="F264" i="1"/>
  <c r="AY289" i="1"/>
  <c r="AW56" i="1"/>
  <c r="F262" i="1"/>
  <c r="AW289" i="1"/>
  <c r="AV56" i="1"/>
  <c r="F261" i="1"/>
  <c r="AV289" i="1"/>
  <c r="P18" i="1"/>
  <c r="F292" i="1"/>
  <c r="BU421" i="7" l="1"/>
  <c r="BV421" i="7" s="1"/>
  <c r="BR421" i="7"/>
  <c r="I421" i="7"/>
  <c r="AV18" i="1"/>
  <c r="F294" i="1"/>
  <c r="AW18" i="1"/>
  <c r="F295" i="1"/>
  <c r="AY18" i="1"/>
  <c r="F297" i="1"/>
  <c r="O18" i="1"/>
  <c r="F291" i="1"/>
  <c r="AS60" i="1"/>
  <c r="F86" i="1"/>
  <c r="AS256" i="1"/>
  <c r="AR60" i="1"/>
  <c r="F97" i="1"/>
  <c r="AR256" i="1"/>
  <c r="X56" i="1"/>
  <c r="F282" i="1"/>
  <c r="X289" i="1"/>
  <c r="Y56" i="1"/>
  <c r="F283" i="1"/>
  <c r="Y289" i="1"/>
  <c r="S18" i="1"/>
  <c r="F304" i="1"/>
  <c r="AT101" i="1"/>
  <c r="F124" i="1"/>
  <c r="AT256" i="1"/>
  <c r="AR101" i="1"/>
  <c r="F134" i="1"/>
  <c r="AT138" i="1"/>
  <c r="F165" i="1"/>
  <c r="AR138" i="1"/>
  <c r="F175" i="1"/>
  <c r="AU219" i="1"/>
  <c r="F245" i="1"/>
  <c r="AU256" i="1"/>
  <c r="AR219" i="1"/>
  <c r="F254" i="1"/>
  <c r="AU56" i="1" l="1"/>
  <c r="F275" i="1"/>
  <c r="AU289" i="1"/>
  <c r="AT56" i="1"/>
  <c r="F274" i="1"/>
  <c r="AT289" i="1"/>
  <c r="Y18" i="1"/>
  <c r="F316" i="1"/>
  <c r="X18" i="1"/>
  <c r="F315" i="1"/>
  <c r="AR56" i="1"/>
  <c r="F284" i="1"/>
  <c r="AR289" i="1"/>
  <c r="F285" i="1"/>
  <c r="F286" i="1" s="1"/>
  <c r="F287" i="1" s="1"/>
  <c r="AS56" i="1"/>
  <c r="F273" i="1"/>
  <c r="AS289" i="1"/>
  <c r="E16" i="2" l="1"/>
  <c r="C42" i="7"/>
  <c r="F16" i="2"/>
  <c r="F18" i="2" s="1"/>
  <c r="C43" i="7"/>
  <c r="H16" i="2"/>
  <c r="H18" i="2" s="1"/>
  <c r="C45" i="7"/>
  <c r="AS18" i="1"/>
  <c r="F306" i="1"/>
  <c r="I16" i="2"/>
  <c r="I18" i="2" s="1"/>
  <c r="E18" i="2"/>
  <c r="AR18" i="1"/>
  <c r="F317" i="1"/>
  <c r="AT18" i="1"/>
  <c r="F307" i="1"/>
  <c r="AU18" i="1"/>
  <c r="F308" i="1"/>
</calcChain>
</file>

<file path=xl/sharedStrings.xml><?xml version="1.0" encoding="utf-8"?>
<sst xmlns="http://schemas.openxmlformats.org/spreadsheetml/2006/main" count="4472" uniqueCount="523">
  <si>
    <t>Smeta.RU  (495) 974-1589</t>
  </si>
  <si>
    <t>_PS_</t>
  </si>
  <si>
    <t>Smeta.RU</t>
  </si>
  <si>
    <t/>
  </si>
  <si>
    <t>Новый объект</t>
  </si>
  <si>
    <t>КЛ-10кВ</t>
  </si>
  <si>
    <t>Мишкина З.И.</t>
  </si>
  <si>
    <t>Сукочев А.А.</t>
  </si>
  <si>
    <t>Сметные нормы списания</t>
  </si>
  <si>
    <t>Коды ценников</t>
  </si>
  <si>
    <t>ФСНБ-2022_И12</t>
  </si>
  <si>
    <t>Версия 1.11.0 для ФСНБ-2022 И12</t>
  </si>
  <si>
    <t>ФСНБ-2022 - Изменения И12</t>
  </si>
  <si>
    <t>Поправки для ФСНБ-2022 от 17.12.2024 г И12 (55/пр) Реконструкция</t>
  </si>
  <si>
    <t>Приказ Минстроя России от 30.12.2021 г. № 1046/пр</t>
  </si>
  <si>
    <t>ГСН</t>
  </si>
  <si>
    <t>Новая локальная смета</t>
  </si>
  <si>
    <t>ПЗ</t>
  </si>
  <si>
    <t>Прямые затраты</t>
  </si>
  <si>
    <t>СтМатОб</t>
  </si>
  <si>
    <t>Стоимость материальных ресурсов (всего)</t>
  </si>
  <si>
    <t>СтМатОбЗак</t>
  </si>
  <si>
    <t>Стоимость материалов и оборудования заказчика</t>
  </si>
  <si>
    <t>СтМатОбПод</t>
  </si>
  <si>
    <t>Стоимость материалов и оборудования подрядчика</t>
  </si>
  <si>
    <t>СтМат</t>
  </si>
  <si>
    <t>Стоимость материалов (всего)</t>
  </si>
  <si>
    <t>СтМатЗак</t>
  </si>
  <si>
    <t>Стоимость материалов заказчика</t>
  </si>
  <si>
    <t>СтМатПод</t>
  </si>
  <si>
    <t>Стоимость материалов подрядчика</t>
  </si>
  <si>
    <t>Оборуд</t>
  </si>
  <si>
    <t>Стоимость оборудования (всего)</t>
  </si>
  <si>
    <t>ОборудЗак</t>
  </si>
  <si>
    <t>Стоимость оборудования заказчика</t>
  </si>
  <si>
    <t>ОборудПод</t>
  </si>
  <si>
    <t>Стоимость оборудования подрядчика</t>
  </si>
  <si>
    <t>ЭММ</t>
  </si>
  <si>
    <t>Эксплуатация машин</t>
  </si>
  <si>
    <t>ЭММсНРиСП</t>
  </si>
  <si>
    <t>Эксплуатация машин по ТСН-2001.16</t>
  </si>
  <si>
    <t>ЗПМ</t>
  </si>
  <si>
    <t>ЗП машинистов</t>
  </si>
  <si>
    <t>ОЗП</t>
  </si>
  <si>
    <t>Основная ЗП рабочих</t>
  </si>
  <si>
    <t>ОЗПсНРиСП</t>
  </si>
  <si>
    <t>Основная ЗП рабочих по ТСН-2001.16</t>
  </si>
  <si>
    <t>Строит</t>
  </si>
  <si>
    <t>Строительные работы с НР и СП</t>
  </si>
  <si>
    <t>Монтаж</t>
  </si>
  <si>
    <t>Монтажные работы с НР и СП</t>
  </si>
  <si>
    <t>Прочие</t>
  </si>
  <si>
    <t>Прочие работы с НР и СП</t>
  </si>
  <si>
    <t>ПрочиеЗатр</t>
  </si>
  <si>
    <t>Прочие затраты по ТСН-2001.16</t>
  </si>
  <si>
    <t>ВозврМат</t>
  </si>
  <si>
    <t>Возврат материалов</t>
  </si>
  <si>
    <t>ТрудСтр</t>
  </si>
  <si>
    <t>Трудозатраты строителей</t>
  </si>
  <si>
    <t>ТрудМаш</t>
  </si>
  <si>
    <t>Трудозатраты машинистов</t>
  </si>
  <si>
    <t>ТранспМат</t>
  </si>
  <si>
    <t>Транспорт материалов</t>
  </si>
  <si>
    <t>Перевозка</t>
  </si>
  <si>
    <t>Перевозка грузов</t>
  </si>
  <si>
    <t>НР</t>
  </si>
  <si>
    <t>Накладные расходы</t>
  </si>
  <si>
    <t>СмПриб</t>
  </si>
  <si>
    <t>Сметная прибыль</t>
  </si>
  <si>
    <t>Всего</t>
  </si>
  <si>
    <t>Всего с НР и СП</t>
  </si>
  <si>
    <t>Реконструкция 2КЛ-10кВ ПС-596 до РТП-12 по адресу: г. Москва, поселение Рязановское, мкр. "Родники". Инв. № 43315095</t>
  </si>
  <si>
    <t>Новый раздел</t>
  </si>
  <si>
    <t>Землянные работы</t>
  </si>
  <si>
    <t>1</t>
  </si>
  <si>
    <t>01-02-057-02</t>
  </si>
  <si>
    <t>Разработка грунта вручную в траншеях глубиной до 2 м без креплений с откосами, группа грунтов: 2</t>
  </si>
  <si>
    <t>100 м3</t>
  </si>
  <si>
    <t>ГЭСН-2022, 01-02-057-02, приказ Минстроя России от 18.05.2022 г. № 378/пр</t>
  </si>
  <si>
    <t>Поправка: Прил. 1.12, п.3.184. Наименование: Разработка и обратная засыпка вручную сильно налипающего на инструменты грунта 2 группы</t>
  </si>
  <si>
    <t>*1,15</t>
  </si>
  <si>
    <t>Общестроительные работы</t>
  </si>
  <si>
    <t>Земляные работы</t>
  </si>
  <si>
    <t>Земляные работы, выполняемые: ручным способом</t>
  </si>
  <si>
    <t>ФЕР-01</t>
  </si>
  <si>
    <t>Поправка: Прил. 1.12, п.3.184.</t>
  </si>
  <si>
    <t>Пр/812-001.2-1</t>
  </si>
  <si>
    <t>Пр/774-001.2</t>
  </si>
  <si>
    <t>2</t>
  </si>
  <si>
    <t>01-02-061-01</t>
  </si>
  <si>
    <t>Засыпка вручную траншей, пазух котлованов и ям, группа грунтов: 1</t>
  </si>
  <si>
    <t>ГЭСН-2022, 01-02-061-01, приказ Минстроя России от 18.05.2022 г. № 378/пр</t>
  </si>
  <si>
    <t>Поправка: Прил. 1.12, п.3.183. Наименование: Разработка и обратная засыпка вручную сильно налипающего на инструменты грунта 1 группы</t>
  </si>
  <si>
    <t>*1,1</t>
  </si>
  <si>
    <t>Поправка: Прил. 1.12, п.3.183.</t>
  </si>
  <si>
    <t>3</t>
  </si>
  <si>
    <t>47-01-046-04</t>
  </si>
  <si>
    <t>Подготовка почвы для устройства обыкновенного газона с внесением растительной земли слоем 15 см: вручную</t>
  </si>
  <si>
    <t>100 м2</t>
  </si>
  <si>
    <t>ГЭСН-2022 доп.9, 47-01-046-04, приказ Минстроя России от 16.02.2024 г. № 102/пр</t>
  </si>
  <si>
    <t>Озеленение. Защитные лесонасаждения</t>
  </si>
  <si>
    <t>ФЕР-47</t>
  </si>
  <si>
    <t>Пр/812-041.0-1</t>
  </si>
  <si>
    <t>Пр/774-041.0</t>
  </si>
  <si>
    <t>3,1</t>
  </si>
  <si>
    <t>16.2.01.02-0001</t>
  </si>
  <si>
    <t>Земля растительная</t>
  </si>
  <si>
    <t>м3</t>
  </si>
  <si>
    <t>ФСБЦ-2022, 16.2.01.02-0001, приказ Минстроя России от 18.05.2022 г. № 378/пр</t>
  </si>
  <si>
    <t>Поправка: МР 507/пр Прил.3, Табл.2, п. 5 (с.46)</t>
  </si>
  <si>
    <t>4</t>
  </si>
  <si>
    <t>47-01-046-06</t>
  </si>
  <si>
    <t>Посев газонов обыкновенных вручную</t>
  </si>
  <si>
    <t>ГЭСН-2022 доп.9, 47-01-046-06, приказ Минстроя России от 16.02.2024 г. № 102/пр</t>
  </si>
  <si>
    <t>4,1</t>
  </si>
  <si>
    <t>16.2.02.01-0001</t>
  </si>
  <si>
    <t>Семена газонной травы, травосмесь «Универсальная»</t>
  </si>
  <si>
    <t>кг</t>
  </si>
  <si>
    <t>ФСБЦ-2022 доп.2, 16.2.02.01-0001, приказ Минстроя России от 26.08.2022 г. № 703/пр</t>
  </si>
  <si>
    <t>Демонтажные работы</t>
  </si>
  <si>
    <t>5</t>
  </si>
  <si>
    <t>м08-02-141-04</t>
  </si>
  <si>
    <t>Кабель до 35 кВ в готовых траншеях без покрытий, масса 1 м: свыше 3 до 6 кг</t>
  </si>
  <si>
    <t>100 м</t>
  </si>
  <si>
    <t>ГЭСНм-2022 доп.7, м08-02-141-04, приказ Минстроя России от 02.08.2023 г. № 551/пр</t>
  </si>
  <si>
    <t>Поправка: 571/пр_2022_п.84_т.3_стр.4_стб.3 Наименование: Демонтаж оборудования, не пригодного для дальнейшего использования (предназначено в лом), без разборки и резки</t>
  </si>
  <si>
    <t>*0</t>
  </si>
  <si>
    <t>*0,3</t>
  </si>
  <si>
    <t>Монтажные работы</t>
  </si>
  <si>
    <t>Электротехнические установки: на других объектах</t>
  </si>
  <si>
    <t>мФЕР-08</t>
  </si>
  <si>
    <t>Поправка: 571/пр_2022_п.84_т.3_стр.4_стб.3</t>
  </si>
  <si>
    <t>Пр/812-049.3-1</t>
  </si>
  <si>
    <t>Пр/774-049.3</t>
  </si>
  <si>
    <t>6</t>
  </si>
  <si>
    <t>м08-02-167-10</t>
  </si>
  <si>
    <t>Муфта соединительная  для 3-4-жильного кабеля напряжением: до 10 кВ, сечение жил до 240 мм2</t>
  </si>
  <si>
    <t>ШТ</t>
  </si>
  <si>
    <t>ГЭСНм-2022, м08-02-167-10, приказ Минстроя России от 18.05.2022 г. № 378/пр</t>
  </si>
  <si>
    <t>7</t>
  </si>
  <si>
    <t>м08-02-142-01</t>
  </si>
  <si>
    <t>Устройство постели при одном кабеле в траншее</t>
  </si>
  <si>
    <t>ГЭСНм-2022, м08-02-142-01, приказ Минстроя России от 18.05.2022 г. № 378/пр</t>
  </si>
  <si>
    <t>8</t>
  </si>
  <si>
    <t>м08-02-142-02</t>
  </si>
  <si>
    <t>На каждый последующий кабель добавлять к норме 08-02-142-01</t>
  </si>
  <si>
    <t>ГЭСНм-2022, м08-02-142-02, приказ Минстроя России от 18.05.2022 г. № 378/пр</t>
  </si>
  <si>
    <t>9</t>
  </si>
  <si>
    <t>10</t>
  </si>
  <si>
    <t>11</t>
  </si>
  <si>
    <t>м08-02-143-08</t>
  </si>
  <si>
    <t>Покрытие кабеля, проложенного в траншее, плитами из полимернаполненных материалов в один ряд, расположенными вдоль кабельной линии: размером 48х48 см</t>
  </si>
  <si>
    <t>ГЭСНм-2022, м08-02-143-08, приказ Минстроя России от 18.05.2022 г. № 378/пр</t>
  </si>
  <si>
    <t>12</t>
  </si>
  <si>
    <t>м08-02-177-01</t>
  </si>
  <si>
    <t>Указатель месторасположения трассы кабелей, проложенных в земле</t>
  </si>
  <si>
    <t>ГЭСНм-2022 доп.2, м08-02-177-01, приказ Минстроя России от 26.08.2022 г. № 703/пр</t>
  </si>
  <si>
    <t>Материалы не учтенные ценником</t>
  </si>
  <si>
    <t>13</t>
  </si>
  <si>
    <t>21.1.07.02-0060</t>
  </si>
  <si>
    <t>Кабель силовой с алюминиевыми жилами АСБл 3х240-10000</t>
  </si>
  <si>
    <t>1000 м</t>
  </si>
  <si>
    <t>ФСБЦ-2022 доп.6, 21.1.07.02-0060, приказ Минстроя России от 11.05.2023 г. № 335/пр</t>
  </si>
  <si>
    <t>1000 М</t>
  </si>
  <si>
    <t>Материалы монтажные</t>
  </si>
  <si>
    <t>Материалы и конструкции ( монтажные )  по ценникам и каталогам</t>
  </si>
  <si>
    <t>ФССЦм</t>
  </si>
  <si>
    <t>14</t>
  </si>
  <si>
    <t>20.2.09.04-0010</t>
  </si>
  <si>
    <t>Муфта термоусаживаемая соединительная для кабеля с полиэтиленовой или бумажной изоляцией на напряжение до 10 кВ, марка СТп-10-3х(150-240) мм2</t>
  </si>
  <si>
    <t>ФСБЦ-2022 доп.5, 20.2.09.04-0010, приказ Минстроя России от 10.02.2023 г. № 84/пр</t>
  </si>
  <si>
    <t>15</t>
  </si>
  <si>
    <t>02.3.01.02-1104</t>
  </si>
  <si>
    <t>Песок природный для строительных работ I класс, средний</t>
  </si>
  <si>
    <t>ФСБЦ-2022, 02.3.01.02-1104, приказ Минстроя России от 18.05.2022 г. № 378/пр</t>
  </si>
  <si>
    <t>Материалы строительные</t>
  </si>
  <si>
    <t>Материалы и конструкции ( строительные ) по ценникам и каталогом</t>
  </si>
  <si>
    <t>ФССЦст</t>
  </si>
  <si>
    <t>16</t>
  </si>
  <si>
    <t>20.2.02.07-1020</t>
  </si>
  <si>
    <t>Плита из полимернаполненной композиции на основе волластонита для закрытия кабеля ПЗК, размеры 480х480 мм</t>
  </si>
  <si>
    <t>ФСБЦ-2022, 20.2.02.07-1020, приказ Минстроя России от 18.05.2022 г. № 378/пр</t>
  </si>
  <si>
    <t>17</t>
  </si>
  <si>
    <t>22.2.02.23-0300</t>
  </si>
  <si>
    <t>Таблички-указатели кабельных трасс металлические односторонние, размеры 300х400х0,8 мм</t>
  </si>
  <si>
    <t>100 ШТ</t>
  </si>
  <si>
    <t>ФСБЦ-2022, 22.2.02.23-0300, приказ Минстроя России от 18.05.2022 г. № 378/пр</t>
  </si>
  <si>
    <t>Пусконаладочные работы</t>
  </si>
  <si>
    <t>18</t>
  </si>
  <si>
    <t>п01-11-024-02</t>
  </si>
  <si>
    <t>Фазировка электрической линии или трансформатора с сетью напряжением: свыше 1 кВ</t>
  </si>
  <si>
    <t>ГЭСНп-2022, п01-11-024-02, приказ Минстроя России от 18.05.2022 г. № 378/пр</t>
  </si>
  <si>
    <t>Пусконаладочные работы Электротехнические устройства</t>
  </si>
  <si>
    <t>ФЕРп</t>
  </si>
  <si>
    <t>Пр/812-083.0-1</t>
  </si>
  <si>
    <t>Пр/774-083.0</t>
  </si>
  <si>
    <t>19</t>
  </si>
  <si>
    <t>п01-11-028-01</t>
  </si>
  <si>
    <t>Измерение сопротивления изоляции (на линию) мегаомметром кабельных и других линий напряжением до 1 кВ, предназначенных для передачи электроэнергии к распределительным устройствам, щитам, шкафам, коммутационным аппаратам и электропотребителям</t>
  </si>
  <si>
    <t>ГЭСНп-2022, п01-11-028-01, приказ Минстроя России от 18.05.2022 г. № 378/пр</t>
  </si>
  <si>
    <t>20</t>
  </si>
  <si>
    <t>п01-12-027-01</t>
  </si>
  <si>
    <t>Испытание кабеля силового длиной до 500 м напряжением: до 10 кВ</t>
  </si>
  <si>
    <t>испытание</t>
  </si>
  <si>
    <t>ГЭСНп-2022, п01-12-027-01, приказ Минстроя России от 18.05.2022 г. № 378/пр</t>
  </si>
  <si>
    <t>21</t>
  </si>
  <si>
    <t>п01-12-027-04</t>
  </si>
  <si>
    <t>За каждые последующие 500 м испытания силового кабеля напряжением: до 10 кВ добавлять к норме 01-12-027-01</t>
  </si>
  <si>
    <t>500 м кабеля</t>
  </si>
  <si>
    <t>ГЭСНп-2022, п01-12-027-04, приказ Минстроя России от 18.05.2022 г. № 378/пр</t>
  </si>
  <si>
    <t>И1</t>
  </si>
  <si>
    <t>Итого</t>
  </si>
  <si>
    <t>И2</t>
  </si>
  <si>
    <t>НДС 20%</t>
  </si>
  <si>
    <t>И3</t>
  </si>
  <si>
    <t>Всего по смете</t>
  </si>
  <si>
    <t>Электротехнические устройства</t>
  </si>
  <si>
    <t>Мет. 421/пр. 04.08.20. пр. 8; п.1</t>
  </si>
  <si>
    <t>СТР_РЕК</t>
  </si>
  <si>
    <t>СТРОИТЕЛЬСТВО и РЕКОНСТРУКЦИЯ  зданий и сооружений всех назначений</t>
  </si>
  <si>
    <t>Строительство и реконструкция</t>
  </si>
  <si>
    <t>РЕМ_ЖИЛ</t>
  </si>
  <si>
    <t>КАП. РЕМ. ЖИЛЫХ И ОБЩЕСТВЕННЫХ ЗДАНИЙ</t>
  </si>
  <si>
    <t>Капитальный ремонт жилых и общественных зданий</t>
  </si>
  <si>
    <t>РЕМ_ПР</t>
  </si>
  <si>
    <t>КАП. РЕМ. ПРОИЗВОДСТВЕННЫХ ЗД. и СООРУЖЕНИЙ,  НАРУЖНЫХ ИНЖЕНЕРНЫХ СЕТЕЙ, УЛИЦ И ДОРОГ МЕСТНОГО ЗНАЧЕНИЯ, ИНЖ,СООРУЖЕНИЙ ( ГИДРОТЕХ,СООРУЖ, МОСТОВ И ПУТЕПРОВОДОВ И Т.П.)</t>
  </si>
  <si>
    <t>Капитальный ремонт прозводственных зданий</t>
  </si>
  <si>
    <t>Территория</t>
  </si>
  <si>
    <t>для территории Российской Федерации, не относящейся к районам Крайнего Севера и приравненным к ним местностям</t>
  </si>
  <si>
    <t>МПРКС</t>
  </si>
  <si>
    <t>для территории Российской Федерации, относящейся к местностям, приравненным к районам Крайнего Севера</t>
  </si>
  <si>
    <t>РКС</t>
  </si>
  <si>
    <t>для территории Российской Федерации, относящейся к районам Крайнего Севера</t>
  </si>
  <si>
    <t>СЛЖ</t>
  </si>
  <si>
    <t>При определении сметной стоимости строительства объектов капитального строительства, относящихся к особо опасным и технически сложным. За исключением АЭС.</t>
  </si>
  <si>
    <t>Для сборников ФЕР ( при производстве работ на технически сложных объектах ):  ·  { СЛЖ } - (вкл.)    - работа на сложных объектах  (к=1,2 к НР)           ·  { СЛЖ } - (выкл.) - работа на обычных объектах</t>
  </si>
  <si>
    <t>Сложные объекты</t>
  </si>
  <si>
    <t>СТНДРТ</t>
  </si>
  <si>
    <t>При определении сметной стоимости строительства объектов капитального строительства (за исключением АЭС).</t>
  </si>
  <si>
    <t>АЭС_ПНР</t>
  </si>
  <si>
    <t>При определении сметной стоимости строительства объектов капитального строительства АЭС. Пусконаладочные работы (за исключением технологического оборудования АЭС).</t>
  </si>
  <si>
    <t>АЭС</t>
  </si>
  <si>
    <t>АЭС_ПНР_ТЕХ</t>
  </si>
  <si>
    <t>При определении сметной стоимости строительства объектов капитального строительства АЭС. Пусконаладочные работы технологического оборудования АЭС.</t>
  </si>
  <si>
    <t>Для сборника ФЕРм -39  и ФЕРМ-08  ( при работах по контролю сварных соединений) :    {мАЭС} - ( вкл.)  -     при выполнении работ по на АЭС  (HР=101%; СП= 68%;             {мАЭС} - (выкл.) -  при выполнении работ  на обычных объектах</t>
  </si>
  <si>
    <t>АЭС, ПНР технологического оборудования АЭС.</t>
  </si>
  <si>
    <t>ОПТ/В</t>
  </si>
  <si>
    <t>{вкл}    - Прокладка  МЕЖДУГОРОДНЫХ  ВОЛОКОННО-ОПТИЧЕСКИХ ЛИНИЙ (для ФЕРм10, отд. 6 разд.3)  {выкл} - Прокладка  ГОРОДСКИХ               ВОЛОКОННО-ОПТИЧЕСКИХ ЛИНИЙ  (для ФЕРм10, отд. 6 разд.3)</t>
  </si>
  <si>
    <t>Для сборников ФЕРм-10  ( волоконно-оптические линии связи ): ·  {М_ГОР_опт} -  ( вкл.)  - междугородные сети связи ( НР=120% , СП=70% )           ·  {М_ГОР_опт} - ( выкл.) - городские сети связи  ( НР=100%; СП=65%)</t>
  </si>
  <si>
    <t>Прокладка междугородных в/опт. кабелей</t>
  </si>
  <si>
    <t>АВИ</t>
  </si>
  <si>
    <t>(вкл)   -  При работах по ДИСПЕТЧЕРИЗАЦИИ управления движением АВИАТРАНСПОРТОМ {вкл}  (монтажные работы )</t>
  </si>
  <si>
    <t>Для сборников ФЕРм 08;10;11 :    · {мАВИА} -  (вкл.)     -  производство монтажных  работы по диспетчеризации управления  движением авиатранспортном (НР=95%, СП=55%) ;    ·            {мАВИА} -  (выкл. ) -  при производстве работ на прочих объектах , кром</t>
  </si>
  <si>
    <t>Диспетчеризация авиатранспорта</t>
  </si>
  <si>
    <t>ЗАКР</t>
  </si>
  <si>
    <t>{вкл}   -  Обслуживающие и сопутствующие работы в тоннелях при  производстве работ ЗАКРЫТЫМ СПОСОБОМ   {выкл} - Обслуживающие и сопутствующие работы в тоннелях при  производстве работ  ОТКРЫТЫМ</t>
  </si>
  <si>
    <t>Для сборника ФЕР -29 ( сопутствующие работы в тоннелях и метро. ): ·  {ЗАКР} - (вкл.)     -  при выполнении работ в тоннелях  и метро закрытым способом  (НР=145% , СП=75%); ·                {ЗАКР} - (выкл.) -   при выполнении работ в тоннелях и метро  отк</t>
  </si>
  <si>
    <t>Производство работ закрытым способом (обслуживающие процессы)</t>
  </si>
  <si>
    <t>АВТО_ДРГ</t>
  </si>
  <si>
    <t>{вкл} - НР и СП по п.021.0 "Автомобильные дороги" (раздел 2 нормы 27-02-010-01:07)  {выкл} - НР и СП по п.021.1 Устройство покрытий дорожек, тротуаров, мостовых и площадок и прочее (раздел 2 нормы 27-02-010-01:07)</t>
  </si>
  <si>
    <t>ГОР</t>
  </si>
  <si>
    <t>(вкл) - ФЕРм-08, выполнение работ на горнорудных объектах  (выкл) - ФЕРм-08, выполнение работ на других объектах</t>
  </si>
  <si>
    <t>Выполнение работ на горнорудных объектах</t>
  </si>
  <si>
    <t>ОБ_ПР</t>
  </si>
  <si>
    <t>Объект производственного назначения</t>
  </si>
  <si>
    <t>ОБ_НПР</t>
  </si>
  <si>
    <t>Объект непроизводственного назначения</t>
  </si>
  <si>
    <t>К_НР_РЕМ</t>
  </si>
  <si>
    <t>при ремонте жилых и общественных зданий если  ( если {РЕМ_ЖИЛ}= [вкл.]</t>
  </si>
  <si>
    <t>Для сборников  ФЕР и  ФЕРмр :  · Значение {_МДСрем_НР}= 0,90 -  при ремонте зданий жилого и гражданского назначений ( 0,90 к НР) ;  · Значение {_МДСрем_НР}= 1,00  - при строительстве  и реконструкции  объектов всех назначений</t>
  </si>
  <si>
    <t>п.25</t>
  </si>
  <si>
    <t>К_СП_РЕМ</t>
  </si>
  <si>
    <t>к нормам СП при капитальном ремонте зданий и сооружений всех назначений ( если или {РЕМ_ЖИЛ}=[вкл] , или (РЕМ_ПР}=[вкл] )</t>
  </si>
  <si>
    <t>Для сборников  ФЕР и  ФЕРмр :   · Значение {_МДСрем_СП} = 0.85  -  при ремонте зданий всех назначений ( 0,85 к СП);   · Значение {_МДСрем_СП} = 1,00 -  при строительстве  и реконструкции  объектов всех назначений</t>
  </si>
  <si>
    <t>п.16</t>
  </si>
  <si>
    <t>К_НР_СЛЖ</t>
  </si>
  <si>
    <t>При определении сметной стоимости строительства объектов капитального строительства, относящихся к особо опасным и технически сложным. За исключением объектов атомных электрических станций.  ( если {СЛЖ} = [вкл] )</t>
  </si>
  <si>
    <t>п.27 СЛОЖН</t>
  </si>
  <si>
    <t>К_НР_АЭС</t>
  </si>
  <si>
    <t>При определении сметной стоимости строительства объектов капитального строительства, относящихся к особо опасным и технически сложным. Для объектов атомных электрических станций.  ( если {АЭС} = [вкл] )</t>
  </si>
  <si>
    <t>п.27 АЭС</t>
  </si>
  <si>
    <t>Р_ОКР</t>
  </si>
  <si>
    <t>Разрядность округления результата расчета НР и СП  (с 05.04.2020 - до семи знаков после запятой)</t>
  </si>
  <si>
    <t>Лист_НРиСП</t>
  </si>
  <si>
    <t>Уровень цен</t>
  </si>
  <si>
    <t>Вид цен</t>
  </si>
  <si>
    <t>Москва, КТЦ к ФСНБ-2022, 4 квартал 2024 г</t>
  </si>
  <si>
    <t>Сборник индексов</t>
  </si>
  <si>
    <t>Москва ФСНБ</t>
  </si>
  <si>
    <t>Письмо Минстроя России   «О расчете индексов изменения сметной стоимости строительства по группам однородных строительных ресурсов на IV квартал 2024 года, предназначенных для определения сметной стоимости строительства ресурсно-индексным методом»</t>
  </si>
  <si>
    <t>Справочная информация</t>
  </si>
  <si>
    <t>Письмо Минстроя России от 25 ноября 2024 г. № 69894-ИФ/09</t>
  </si>
  <si>
    <t>Данные в ФГИС ЦС отсутсвуют</t>
  </si>
  <si>
    <t>_OBSM_</t>
  </si>
  <si>
    <t>1-100-20</t>
  </si>
  <si>
    <t>Затраты труда рабочих (Средний разряд - 2)</t>
  </si>
  <si>
    <t>чел.-ч.</t>
  </si>
  <si>
    <t>1-100-15</t>
  </si>
  <si>
    <t>Средний разряд работы 1,5</t>
  </si>
  <si>
    <t>1-100-22</t>
  </si>
  <si>
    <t>Затраты труда рабочих (Средний разряд - 2,2)</t>
  </si>
  <si>
    <t>2-100-02</t>
  </si>
  <si>
    <t>Рабочий 2 разряда</t>
  </si>
  <si>
    <t>чел.-ч</t>
  </si>
  <si>
    <t>2-100-03</t>
  </si>
  <si>
    <t>Рабочий 3 разряда</t>
  </si>
  <si>
    <t>4-100-00</t>
  </si>
  <si>
    <t>Затраты труда машинистов</t>
  </si>
  <si>
    <t>91.13.01-038</t>
  </si>
  <si>
    <t>ФСЭМ-2022, 91.13.01-038, приказ Минстроя России от 18.05.2022 г. № 378/пр</t>
  </si>
  <si>
    <t>Машины поливомоечные, вместимость цистерны 6 м3</t>
  </si>
  <si>
    <t>маш.-ч</t>
  </si>
  <si>
    <t>4-100-040</t>
  </si>
  <si>
    <t>01.7.03.01-0001</t>
  </si>
  <si>
    <t>ФСБЦ-2022, 01.7.03.01-0001, приказ Минстроя России от 18.05.2022 г. № 378/пр</t>
  </si>
  <si>
    <t>Вода</t>
  </si>
  <si>
    <t>1-100-38</t>
  </si>
  <si>
    <t>Затраты труда рабочих (Средний разряд - 3,8)</t>
  </si>
  <si>
    <t>91.05.05-015</t>
  </si>
  <si>
    <t>ФСЭМ-2022, 91.05.05-015, приказ Минстроя России от 18.05.2022 г. № 378/пр</t>
  </si>
  <si>
    <t>Краны на автомобильном ходу, грузоподъемность 16 т</t>
  </si>
  <si>
    <t>4-100-060</t>
  </si>
  <si>
    <t>91.06.01-003</t>
  </si>
  <si>
    <t>ФСЭМ-2022, 91.06.01-003, приказ Минстроя России от 18.05.2022 г. № 378/пр</t>
  </si>
  <si>
    <t>Домкраты гидравлические, грузоподъемность 63-100 т</t>
  </si>
  <si>
    <t>91.06.03-062</t>
  </si>
  <si>
    <t>ФСЭМ-2022, 91.06.03-062, приказ Минстроя России от 18.05.2022 г. № 378/пр</t>
  </si>
  <si>
    <t>Лебедки электрические тяговым усилием до 31,39 кН (3,2 т)</t>
  </si>
  <si>
    <t>91.14.02-001</t>
  </si>
  <si>
    <t>ФСЭМ-2022 доп.7, 91.14.02-001, приказ Минстроя России от 02.08.2023 г. № 551/пр</t>
  </si>
  <si>
    <t>Автомобили бортовые, грузоподъемность до 5 т</t>
  </si>
  <si>
    <t>01.7.06.07-0002</t>
  </si>
  <si>
    <t>ФСБЦ-2022, 01.7.06.07-0002, приказ Минстроя России от 18.05.2022 г. № 378/пр</t>
  </si>
  <si>
    <t>Ленты монтажные из пластмассы для бандажирования проводов, скрепляются пластмассовыми кнопками, ширина 10 мм</t>
  </si>
  <si>
    <t>10 м</t>
  </si>
  <si>
    <t>08.3.07.01-0052</t>
  </si>
  <si>
    <t>ФСБЦ-2022 доп.4, 08.3.07.01-0052, приказ Минстроя России от 27.12.2022 г. № 1133/пр</t>
  </si>
  <si>
    <t>Прокат стальной горячекатаный полосовой, марки стали Ст3сп, Ст3пс, размеры 50х5 мм</t>
  </si>
  <si>
    <t>т</t>
  </si>
  <si>
    <t>08.3.08.02-0058</t>
  </si>
  <si>
    <t>ФСБЦ-2022, 08.3.08.02-0058, приказ Минстроя России от 18.05.2022 г. № 378/пр</t>
  </si>
  <si>
    <t>Уголок стальной горячекатаный равнополочный, марки стали Ст3сп, Ст3пс, ширина полок 35-56 мм, толщина полки 3-5 мм</t>
  </si>
  <si>
    <t>14.4.02.04-0142</t>
  </si>
  <si>
    <t>ФСБЦ-2022, 14.4.02.04-0142, приказ Минстроя России от 18.05.2022 г. № 378/пр</t>
  </si>
  <si>
    <t>Краска масляная МА-0115, мумия, сурик железный</t>
  </si>
  <si>
    <t>14.4.03.03-0002</t>
  </si>
  <si>
    <t>ФСБЦ-2022 доп.4, 14.4.03.03-0002, приказ Минстроя России от 27.12.2022 г. № 1133/пр</t>
  </si>
  <si>
    <t>Лак битумный БТ-123</t>
  </si>
  <si>
    <t>421/пр_2020_п.75_пп.а</t>
  </si>
  <si>
    <t>Сметная стоимость вспомогательных ненормируемых материальных ресурсов, не учтенная в сметной норме, 2%</t>
  </si>
  <si>
    <t>%</t>
  </si>
  <si>
    <t>Средний разряд работы 3,8</t>
  </si>
  <si>
    <t>01.3.01.01-0001</t>
  </si>
  <si>
    <t>ФСБЦ-2022 доп.6, 01.3.01.01-0001, приказ Минстроя России от 11.05.2023 г. № 335/пр</t>
  </si>
  <si>
    <t>Бензин авиационный Б-70</t>
  </si>
  <si>
    <t>01.3.01.05-0009</t>
  </si>
  <si>
    <t>ФСБЦ-2022 доп.8, 01.3.01.05-0009, приказ Минстроя России от 14.11.2023 г. № 817/пр</t>
  </si>
  <si>
    <t>Парафин нефтяной твердый Т-1</t>
  </si>
  <si>
    <t>20.2.01.05-0014</t>
  </si>
  <si>
    <t>ФСБЦ-2022 доп.11, 20.2.01.05-0014, приказ Минстроя России от 09.08.2024 г. № 524/пр</t>
  </si>
  <si>
    <t>Гильзы кабельные медные 240 мм</t>
  </si>
  <si>
    <t>1-100-23</t>
  </si>
  <si>
    <t>Затраты труда рабочих (Средний разряд - 2,3)</t>
  </si>
  <si>
    <t>08.3.05.02-0021</t>
  </si>
  <si>
    <t>ФСБЦ-2022, 08.3.05.02-0021, приказ Минстроя России от 18.05.2022 г. № 378/пр</t>
  </si>
  <si>
    <t>Прокат листовой горячекатаный, марки стали Ст3сп, Ст3пс, ширина 1200-3000 мм, толщина 1-8 мм</t>
  </si>
  <si>
    <t>14.4.04.11-0010</t>
  </si>
  <si>
    <t>ФСБЦ-2022 доп.2, 14.4.04.11-0010, приказ Минстроя России от 26.08.2022 г. № 703/пр</t>
  </si>
  <si>
    <t>Эмаль на основе сополимера винилхлорида с винилацетатом, цвет серебристый</t>
  </si>
  <si>
    <t>2-100-06</t>
  </si>
  <si>
    <t>Рабочий 6 разряда</t>
  </si>
  <si>
    <t>3-200-03</t>
  </si>
  <si>
    <t>Инженер III категории</t>
  </si>
  <si>
    <t>2-100-04</t>
  </si>
  <si>
    <t>Рабочий 4 разряда</t>
  </si>
  <si>
    <t>16.2.01.02</t>
  </si>
  <si>
    <t>16.2.02.07</t>
  </si>
  <si>
    <t>Семена газонных трав</t>
  </si>
  <si>
    <t>Прил. 1.12, п.3.184.</t>
  </si>
  <si>
    <t>Разработка и обратная засыпка вручную сильно налипающего на инструменты грунта 2 группы</t>
  </si>
  <si>
    <t>Тех. часть сб1</t>
  </si>
  <si>
    <t>Прил. 1.12, п.3.183.</t>
  </si>
  <si>
    <t>Разработка и обратная засыпка вручную сильно налипающего на инструменты грунта 1 группы</t>
  </si>
  <si>
    <t>571/пр_2022_п.84_т.3_стр.4_стб.3</t>
  </si>
  <si>
    <t>Демонтаж оборудования, не пригодного для дальнейшего использования (предназначено в лом), без разборки и резки</t>
  </si>
  <si>
    <t>Методика применения сметных норм 571/пр (О.П.)</t>
  </si>
  <si>
    <t>Приказ Минстроя России от 18.05.2022 г. № 378/пр, Приказ Минстроя России от 26.08.2022 г. № 703/пр, Приказ Минстроя России от 26.10.2022 г. № 905/пр;  Приказ Минстроя России от 27.12.2022 г. № 1133/пр; Приказ Минстроя России от 10.02.2023 г. № 84/пр; Приказ Минстроя России от 11.05.2023 г. № 335/пр;  Приказ Минстроя России от 02.08.2023 г. № 551/пр; Приказ Минстроя России от 14.11.2023 г. № 817/пр; Приказ Минстроя России от 16.02.2024 г. № 102/пр;  Приказ Минстроя России от 13.05.2024 г. № 323/пр; Приказ Минстроя России от 09.08.2024 г. № 524/пр; Приказ Минстроя России от 07.11.2024 г. № 747/пр</t>
  </si>
  <si>
    <t>Поправка: МР 507/пр Прил.3, Табл.2, п. 5 (с.46)  Наименование: 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</t>
  </si>
  <si>
    <t>Наименование программного продукта</t>
  </si>
  <si>
    <t>Наименование редакции сметных нормативов</t>
  </si>
  <si>
    <t>Реквизиты приказа Минстроя России об утверждении дополнений и изменений к сметным нормативам</t>
  </si>
  <si>
    <t xml:space="preserve">Реквизиты письма Минстроя России об индексах изменения сметной стоимости строительства,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строительстве, подготовленного в соответствии с пунктом 85 Методики расчета индексов изменения сметной стоимости строительства, утвержденной приказом Министерства строительства и жилищно-коммунального хозяйства Российской Федерации от 5 июня 2019 г. N 326/пр </t>
  </si>
  <si>
    <t>Реквизиты нормативного правового акта об утверждении оплаты труда, утверждаемый в соответствии с пунктом 22(1) Правилами мониторинга цен, утвержденными постановлением Правительства Российской Федерации от 23 декабря 2016 г. N 1452</t>
  </si>
  <si>
    <t>Обоснование принятых текущих цен на строительные ресурсы</t>
  </si>
  <si>
    <t>Наименование субъекта Российской Федерации</t>
  </si>
  <si>
    <t>Наименование зоны субъекта Российской Федерации</t>
  </si>
  <si>
    <t>(наименование работ и затрат)</t>
  </si>
  <si>
    <t>Составлен</t>
  </si>
  <si>
    <t>методом</t>
  </si>
  <si>
    <t>Основание</t>
  </si>
  <si>
    <t>(проектная и (или) иная техническая документация)</t>
  </si>
  <si>
    <t>Сметная стоимость</t>
  </si>
  <si>
    <t>тыс. руб.</t>
  </si>
  <si>
    <t>Средства на оплату труда рабочих</t>
  </si>
  <si>
    <t>в том числе:</t>
  </si>
  <si>
    <t>Средства на оплату труда машинистов</t>
  </si>
  <si>
    <t>строительных работ</t>
  </si>
  <si>
    <t xml:space="preserve">Нормативные затраты труда рабочих </t>
  </si>
  <si>
    <t xml:space="preserve">монтажных работ    </t>
  </si>
  <si>
    <t xml:space="preserve">Нормативные затраты труда машинистов </t>
  </si>
  <si>
    <t xml:space="preserve">оборудования         </t>
  </si>
  <si>
    <t xml:space="preserve">прочих затрат       </t>
  </si>
  <si>
    <t>№ п/п</t>
  </si>
  <si>
    <t>Обоснование</t>
  </si>
  <si>
    <t>Наименование работ и затрат</t>
  </si>
  <si>
    <t>Единица измерения</t>
  </si>
  <si>
    <t>Количество</t>
  </si>
  <si>
    <t>Сметная стоимость, руб.</t>
  </si>
  <si>
    <t>на единицу измерения</t>
  </si>
  <si>
    <t>коэффициенты</t>
  </si>
  <si>
    <t>всего с учетом коэффициентов</t>
  </si>
  <si>
    <t>на единицу измерения в базисном уровне цен</t>
  </si>
  <si>
    <t>индекс</t>
  </si>
  <si>
    <t>на единицу измерения в текущем уровне цен</t>
  </si>
  <si>
    <t>всего в текущем уровне цен</t>
  </si>
  <si>
    <t>Программа для ЭВМ «Программа: «Smeta.RU» версия 11»</t>
  </si>
  <si>
    <t>ФГИС ЦС, конъюнктурный анализ</t>
  </si>
  <si>
    <t>Ресурсно-индексным</t>
  </si>
  <si>
    <t>Составлен(а) в текущем уровне цен на декабрь 2024 года</t>
  </si>
  <si>
    <t>Раздел: Землянные работы</t>
  </si>
  <si>
    <t>ГЭСН 01-02-057-02</t>
  </si>
  <si>
    <t>ЗТ *1,15</t>
  </si>
  <si>
    <t>ОТ (ЗТ)</t>
  </si>
  <si>
    <t>Итого прямые затраты</t>
  </si>
  <si>
    <t>ФОТ</t>
  </si>
  <si>
    <t>НР Земляные работы, выполняемые: ручным способом</t>
  </si>
  <si>
    <t>СП Земляные работы, выполняемые: ручным способом</t>
  </si>
  <si>
    <t>Всего по позиции</t>
  </si>
  <si>
    <t>=</t>
  </si>
  <si>
    <t>ГЭСН 01-02-061-01</t>
  </si>
  <si>
    <t>ЭМ *1,1; ЗТ *1,1; ЗТм *1,1</t>
  </si>
  <si>
    <t>ГЭСН 47-01-046-04</t>
  </si>
  <si>
    <t>3.1</t>
  </si>
  <si>
    <t>НР Озеленение. Защитные лесонасаждения</t>
  </si>
  <si>
    <t>СП Озеленение. Защитные лесонасаждения</t>
  </si>
  <si>
    <t>ГЭСН 47-01-046-06</t>
  </si>
  <si>
    <t>ЭМ</t>
  </si>
  <si>
    <t>ОТм(ЗТм) Средний разряд машинистов 4</t>
  </si>
  <si>
    <t>ОТм(ЗТм)</t>
  </si>
  <si>
    <t>М</t>
  </si>
  <si>
    <t>4.1</t>
  </si>
  <si>
    <t>Итого прямые затраты по разделу</t>
  </si>
  <si>
    <t>в том числе</t>
  </si>
  <si>
    <t xml:space="preserve">  оплата труда</t>
  </si>
  <si>
    <t xml:space="preserve">  эксплуатация машин и механизмов</t>
  </si>
  <si>
    <t xml:space="preserve">  в том числе</t>
  </si>
  <si>
    <t xml:space="preserve">    в том числе</t>
  </si>
  <si>
    <t xml:space="preserve">    доплаты к оплате труда машинистов</t>
  </si>
  <si>
    <t xml:space="preserve">  материальные ресурсы</t>
  </si>
  <si>
    <t xml:space="preserve">    материальные ресурсы без учета дополнительной перевозки</t>
  </si>
  <si>
    <t xml:space="preserve">    дополнительная перевозка материальных ресурсов</t>
  </si>
  <si>
    <t xml:space="preserve">  перевозка</t>
  </si>
  <si>
    <t>Всего ФОТ (справочно)</t>
  </si>
  <si>
    <t>Всего накладные расходы</t>
  </si>
  <si>
    <t>Всего сметная прибыль</t>
  </si>
  <si>
    <t>Итого оборудование</t>
  </si>
  <si>
    <t xml:space="preserve">  оборудование без учета дополнительной перевозки</t>
  </si>
  <si>
    <t xml:space="preserve">  дополнительная перевозка оборудования</t>
  </si>
  <si>
    <t>Итого прочие затраты</t>
  </si>
  <si>
    <t>Итого хозяйственный инвентарь</t>
  </si>
  <si>
    <t>Итого по разделу</t>
  </si>
  <si>
    <t>Справочно</t>
  </si>
  <si>
    <t xml:space="preserve">  материальные ресурсы, отсутствующие в ФРСН</t>
  </si>
  <si>
    <t xml:space="preserve">  оборудование, отсутствующие в ФРСН</t>
  </si>
  <si>
    <t xml:space="preserve">  затраты труда рабочих</t>
  </si>
  <si>
    <t xml:space="preserve">  затраты труда машинистов</t>
  </si>
  <si>
    <t xml:space="preserve">  оплата труда машинистов (ОТм)</t>
  </si>
  <si>
    <t>Раздел: Демонтажные работы</t>
  </si>
  <si>
    <t>ГЭСНм 08-02-141-04</t>
  </si>
  <si>
    <t>ЭМ *0,3; М *0; ЗТ *0,3; ЗТм *0,3</t>
  </si>
  <si>
    <t>ОТм(ЗТм) Средний разряд машинистов 6</t>
  </si>
  <si>
    <t>НР Электротехнические установки: на других объектах</t>
  </si>
  <si>
    <t>СП Электротехнические установки: на других объектах</t>
  </si>
  <si>
    <t>ГЭСНм 08-02-167-10</t>
  </si>
  <si>
    <t>Раздел: Монтажные работы</t>
  </si>
  <si>
    <t>ГЭСНм 08-02-142-01</t>
  </si>
  <si>
    <t>ГЭСНм 08-02-142-02</t>
  </si>
  <si>
    <t>ГЭСНм 08-02-143-08</t>
  </si>
  <si>
    <t>ГЭСНм 08-02-177-01</t>
  </si>
  <si>
    <t>Раздел: Материалы не учтенные ценником</t>
  </si>
  <si>
    <t>Раздел: Пусконаладочные работы</t>
  </si>
  <si>
    <t>ГЭСНп 01-11-024-02</t>
  </si>
  <si>
    <t>НР Пусконаладочные работы</t>
  </si>
  <si>
    <t>СП Пусконаладочные работы</t>
  </si>
  <si>
    <t>ГЭСНп 01-11-028-01</t>
  </si>
  <si>
    <t>ГЭСНп 01-12-027-01</t>
  </si>
  <si>
    <t>ГЭСНп 01-12-027-04</t>
  </si>
  <si>
    <t>ИТОГИ ПО СМЕТЕ</t>
  </si>
  <si>
    <t>ВСЕГО строительные работы</t>
  </si>
  <si>
    <t>Всего прямые затраты</t>
  </si>
  <si>
    <t xml:space="preserve">  оплата труда (ОТ)</t>
  </si>
  <si>
    <t>ФОТ (справочно)</t>
  </si>
  <si>
    <t>накладные расходы</t>
  </si>
  <si>
    <t>сметная прибыль</t>
  </si>
  <si>
    <t>ВСЕГО монтажные работы</t>
  </si>
  <si>
    <t>ВСЕГО оборудование</t>
  </si>
  <si>
    <t>ВСЕГО прочие затраты</t>
  </si>
  <si>
    <t xml:space="preserve">   прочие затраты</t>
  </si>
  <si>
    <t xml:space="preserve">   Хозяйственный инвентарь</t>
  </si>
  <si>
    <t>ВСЕГО по смете</t>
  </si>
  <si>
    <t>Всего оборудование</t>
  </si>
  <si>
    <t>Всего прочие затраты</t>
  </si>
  <si>
    <t xml:space="preserve">Составил   </t>
  </si>
  <si>
    <t>[должность,подпись(инициалы,фамилия)]</t>
  </si>
  <si>
    <t xml:space="preserve">Проверил   </t>
  </si>
  <si>
    <t>Инженерно-геодезические работы</t>
  </si>
  <si>
    <t>Проектные работы</t>
  </si>
  <si>
    <t>НДС</t>
  </si>
  <si>
    <t>УТВЕРЖДАЮ:</t>
  </si>
  <si>
    <t>Генеральный директор АО "РСП"</t>
  </si>
  <si>
    <t>____________________Н.В. Ильин</t>
  </si>
  <si>
    <t>"___"  ___________________2025 г</t>
  </si>
  <si>
    <t>ЛОКАЛЬНАЯ СМЕТА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</si>
</sst>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"/>
    <numFmt numFmtId="165" formatCode="#,##0.00;[Red]\-\ #,##0.00"/>
    <numFmt numFmtId="166" formatCode="#,##0.00#####;[Red]\-\ #,##0.00#####"/>
    <numFmt numFmtId="167" formatCode="#,##0.00_ ;[Red]\-#,##0.00\ "/>
  </numFmts>
  <fonts count="28" x14ac:knownFonts="1">
    <font>
      <sz val="10"/>
      <name val="Arial"/>
      <charset val="204"/>
    </font>
    <font>
      <b/>
      <sz val="10"/>
      <color indexed="12"/>
      <name val="Arial"/>
      <charset val="204"/>
    </font>
    <font>
      <b/>
      <sz val="10"/>
      <color indexed="16"/>
      <name val="Arial"/>
      <charset val="204"/>
    </font>
    <font>
      <b/>
      <sz val="10"/>
      <color indexed="20"/>
      <name val="Arial"/>
      <charset val="204"/>
    </font>
    <font>
      <b/>
      <sz val="10"/>
      <color indexed="17"/>
      <name val="Arial"/>
      <charset val="204"/>
    </font>
    <font>
      <sz val="10"/>
      <color indexed="17"/>
      <name val="Arial"/>
      <charset val="204"/>
    </font>
    <font>
      <sz val="10"/>
      <color indexed="12"/>
      <name val="Arial"/>
      <charset val="204"/>
    </font>
    <font>
      <sz val="10"/>
      <color indexed="14"/>
      <name val="Arial"/>
      <charset val="204"/>
    </font>
    <font>
      <b/>
      <sz val="10"/>
      <color indexed="14"/>
      <name val="Arial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rgb="FF000000"/>
      <name val="Arial Cyr"/>
      <charset val="204"/>
    </font>
    <font>
      <b/>
      <sz val="1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i/>
      <sz val="10"/>
      <color rgb="FF000000"/>
      <name val="Arial"/>
      <family val="2"/>
      <charset val="204"/>
    </font>
    <font>
      <i/>
      <sz val="9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13"/>
      <name val="Arial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i/>
      <sz val="10"/>
      <name val="Arial"/>
      <family val="2"/>
      <charset val="204"/>
    </font>
    <font>
      <b/>
      <sz val="11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0" fontId="9" fillId="0" borderId="0"/>
  </cellStyleXfs>
  <cellXfs count="12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10" fillId="0" borderId="0" xfId="0" applyFont="1"/>
    <xf numFmtId="0" fontId="11" fillId="0" borderId="0" xfId="0" applyFont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1" fillId="0" borderId="0" xfId="0" applyFont="1"/>
    <xf numFmtId="0" fontId="11" fillId="0" borderId="0" xfId="0" applyFont="1" applyAlignment="1">
      <alignment vertical="top" wrapText="1"/>
    </xf>
    <xf numFmtId="0" fontId="11" fillId="0" borderId="2" xfId="0" applyFont="1" applyBorder="1" applyAlignment="1">
      <alignment vertical="top"/>
    </xf>
    <xf numFmtId="0" fontId="11" fillId="0" borderId="0" xfId="0" applyFont="1" applyAlignment="1">
      <alignment horizontal="left"/>
    </xf>
    <xf numFmtId="0" fontId="11" fillId="0" borderId="2" xfId="0" applyFont="1" applyBorder="1" applyAlignment="1">
      <alignment horizontal="left" vertical="top" wrapText="1"/>
    </xf>
    <xf numFmtId="0" fontId="12" fillId="0" borderId="0" xfId="0" applyFont="1"/>
    <xf numFmtId="0" fontId="12" fillId="0" borderId="2" xfId="0" applyFont="1" applyBorder="1"/>
    <xf numFmtId="0" fontId="18" fillId="0" borderId="0" xfId="0" applyFont="1"/>
    <xf numFmtId="0" fontId="18" fillId="0" borderId="0" xfId="0" applyFont="1" applyAlignment="1">
      <alignment wrapText="1"/>
    </xf>
    <xf numFmtId="0" fontId="19" fillId="0" borderId="1" xfId="0" applyFont="1" applyBorder="1" applyAlignment="1">
      <alignment horizontal="center" wrapText="1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wrapText="1"/>
    </xf>
    <xf numFmtId="0" fontId="14" fillId="0" borderId="0" xfId="0" applyFont="1"/>
    <xf numFmtId="14" fontId="18" fillId="0" borderId="0" xfId="0" applyNumberFormat="1" applyFont="1"/>
    <xf numFmtId="0" fontId="11" fillId="0" borderId="0" xfId="0" applyFont="1" applyAlignment="1">
      <alignment horizontal="right"/>
    </xf>
    <xf numFmtId="0" fontId="16" fillId="0" borderId="0" xfId="0" applyFont="1"/>
    <xf numFmtId="164" fontId="11" fillId="0" borderId="0" xfId="0" applyNumberFormat="1" applyFont="1" applyAlignment="1">
      <alignment horizontal="right"/>
    </xf>
    <xf numFmtId="0" fontId="18" fillId="0" borderId="1" xfId="0" applyFont="1" applyBorder="1"/>
    <xf numFmtId="0" fontId="11" fillId="0" borderId="7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/>
    </xf>
    <xf numFmtId="0" fontId="18" fillId="0" borderId="0" xfId="0" applyFont="1" applyAlignment="1">
      <alignment horizontal="center"/>
    </xf>
    <xf numFmtId="0" fontId="18" fillId="0" borderId="7" xfId="0" applyFont="1" applyBorder="1" applyAlignment="1">
      <alignment horizontal="center"/>
    </xf>
    <xf numFmtId="0" fontId="21" fillId="0" borderId="0" xfId="0" quotePrefix="1" applyFont="1" applyAlignment="1">
      <alignment horizontal="left" vertical="top" wrapText="1"/>
    </xf>
    <xf numFmtId="0" fontId="21" fillId="0" borderId="0" xfId="0" applyFont="1" applyAlignment="1">
      <alignment horizontal="left" vertical="top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right" vertical="top" wrapText="1"/>
    </xf>
    <xf numFmtId="0" fontId="21" fillId="0" borderId="0" xfId="0" applyFont="1" applyAlignment="1">
      <alignment horizontal="right" vertical="top"/>
    </xf>
    <xf numFmtId="0" fontId="21" fillId="0" borderId="0" xfId="0" applyFont="1" applyAlignment="1">
      <alignment horizontal="right" vertical="top" wrapText="1"/>
    </xf>
    <xf numFmtId="165" fontId="21" fillId="0" borderId="0" xfId="0" applyNumberFormat="1" applyFont="1" applyAlignment="1">
      <alignment horizontal="right" vertical="top"/>
    </xf>
    <xf numFmtId="0" fontId="23" fillId="0" borderId="0" xfId="0" applyFont="1" applyAlignment="1">
      <alignment vertical="top" wrapText="1"/>
    </xf>
    <xf numFmtId="166" fontId="21" fillId="0" borderId="0" xfId="0" applyNumberFormat="1" applyFont="1" applyAlignment="1">
      <alignment horizontal="right" vertical="top"/>
    </xf>
    <xf numFmtId="165" fontId="24" fillId="0" borderId="0" xfId="0" applyNumberFormat="1" applyFont="1" applyAlignment="1">
      <alignment horizontal="right" vertical="top"/>
    </xf>
    <xf numFmtId="0" fontId="21" fillId="0" borderId="1" xfId="0" applyFont="1" applyBorder="1" applyAlignment="1">
      <alignment horizontal="left" vertical="top" wrapText="1"/>
    </xf>
    <xf numFmtId="0" fontId="22" fillId="0" borderId="1" xfId="0" applyFont="1" applyBorder="1" applyAlignment="1">
      <alignment horizontal="right" vertical="top" wrapText="1"/>
    </xf>
    <xf numFmtId="0" fontId="21" fillId="0" borderId="1" xfId="0" applyFont="1" applyBorder="1" applyAlignment="1">
      <alignment horizontal="right" vertical="top"/>
    </xf>
    <xf numFmtId="165" fontId="21" fillId="0" borderId="1" xfId="0" applyNumberFormat="1" applyFont="1" applyBorder="1" applyAlignment="1">
      <alignment horizontal="right" vertical="top"/>
    </xf>
    <xf numFmtId="0" fontId="21" fillId="0" borderId="1" xfId="0" applyFont="1" applyBorder="1" applyAlignment="1">
      <alignment horizontal="right" vertical="top" wrapText="1"/>
    </xf>
    <xf numFmtId="165" fontId="0" fillId="0" borderId="0" xfId="0" applyNumberFormat="1"/>
    <xf numFmtId="165" fontId="21" fillId="0" borderId="0" xfId="0" applyNumberFormat="1" applyFont="1" applyAlignment="1">
      <alignment horizontal="right"/>
    </xf>
    <xf numFmtId="0" fontId="24" fillId="0" borderId="0" xfId="0" applyFont="1" applyAlignment="1">
      <alignment horizontal="left" vertical="top" wrapText="1"/>
    </xf>
    <xf numFmtId="0" fontId="21" fillId="0" borderId="0" xfId="0" applyFont="1" applyAlignment="1">
      <alignment vertical="top"/>
    </xf>
    <xf numFmtId="165" fontId="24" fillId="0" borderId="2" xfId="0" applyNumberFormat="1" applyFont="1" applyBorder="1" applyAlignment="1">
      <alignment horizontal="right" vertical="top"/>
    </xf>
    <xf numFmtId="0" fontId="9" fillId="0" borderId="0" xfId="0" applyFont="1" applyAlignment="1">
      <alignment horizontal="left" vertical="top" wrapText="1"/>
    </xf>
    <xf numFmtId="0" fontId="24" fillId="0" borderId="0" xfId="0" applyFont="1" applyAlignment="1">
      <alignment vertical="top"/>
    </xf>
    <xf numFmtId="0" fontId="13" fillId="0" borderId="0" xfId="0" applyFont="1" applyAlignment="1">
      <alignment horizontal="left" vertical="top" wrapText="1"/>
    </xf>
    <xf numFmtId="0" fontId="24" fillId="0" borderId="0" xfId="0" applyFont="1" applyAlignment="1">
      <alignment horizontal="right" vertical="top"/>
    </xf>
    <xf numFmtId="0" fontId="21" fillId="0" borderId="1" xfId="0" applyFont="1" applyBorder="1" applyAlignment="1">
      <alignment horizontal="left" vertical="top"/>
    </xf>
    <xf numFmtId="166" fontId="21" fillId="0" borderId="1" xfId="0" applyNumberFormat="1" applyFont="1" applyBorder="1" applyAlignment="1">
      <alignment horizontal="right" vertical="top"/>
    </xf>
    <xf numFmtId="165" fontId="24" fillId="0" borderId="1" xfId="0" applyNumberFormat="1" applyFont="1" applyBorder="1" applyAlignment="1">
      <alignment horizontal="right" vertical="top"/>
    </xf>
    <xf numFmtId="0" fontId="0" fillId="0" borderId="1" xfId="0" applyBorder="1"/>
    <xf numFmtId="0" fontId="21" fillId="0" borderId="1" xfId="0" quotePrefix="1" applyFont="1" applyBorder="1" applyAlignment="1">
      <alignment horizontal="left" vertical="top" wrapText="1"/>
    </xf>
    <xf numFmtId="0" fontId="24" fillId="0" borderId="2" xfId="0" applyFont="1" applyBorder="1" applyAlignment="1">
      <alignment vertical="top"/>
    </xf>
    <xf numFmtId="0" fontId="13" fillId="0" borderId="2" xfId="0" applyFont="1" applyBorder="1" applyAlignment="1">
      <alignment horizontal="left" vertical="top" wrapText="1"/>
    </xf>
    <xf numFmtId="0" fontId="24" fillId="0" borderId="2" xfId="0" applyFont="1" applyBorder="1" applyAlignment="1">
      <alignment horizontal="right" vertical="top"/>
    </xf>
    <xf numFmtId="0" fontId="21" fillId="0" borderId="0" xfId="0" applyFont="1" applyAlignment="1">
      <alignment horizontal="left" wrapText="1"/>
    </xf>
    <xf numFmtId="165" fontId="12" fillId="0" borderId="0" xfId="0" applyNumberFormat="1" applyFont="1"/>
    <xf numFmtId="166" fontId="12" fillId="0" borderId="0" xfId="0" applyNumberFormat="1" applyFont="1"/>
    <xf numFmtId="0" fontId="18" fillId="0" borderId="1" xfId="0" applyFont="1" applyBorder="1" applyAlignment="1">
      <alignment horizontal="left"/>
    </xf>
    <xf numFmtId="0" fontId="26" fillId="0" borderId="0" xfId="1" applyFont="1" applyAlignment="1">
      <alignment horizontal="left" wrapText="1"/>
    </xf>
    <xf numFmtId="0" fontId="26" fillId="0" borderId="0" xfId="0" applyFont="1" applyAlignment="1">
      <alignment vertical="top"/>
    </xf>
    <xf numFmtId="165" fontId="26" fillId="0" borderId="0" xfId="0" applyNumberFormat="1" applyFont="1" applyAlignment="1">
      <alignment vertical="top"/>
    </xf>
    <xf numFmtId="0" fontId="27" fillId="0" borderId="0" xfId="0" applyFont="1" applyAlignment="1">
      <alignment vertical="top"/>
    </xf>
    <xf numFmtId="4" fontId="26" fillId="0" borderId="0" xfId="1" applyNumberFormat="1" applyFont="1" applyAlignment="1">
      <alignment horizontal="left" wrapText="1"/>
    </xf>
    <xf numFmtId="9" fontId="26" fillId="0" borderId="0" xfId="1" applyNumberFormat="1" applyFont="1" applyAlignment="1">
      <alignment horizontal="left" wrapText="1"/>
    </xf>
    <xf numFmtId="167" fontId="26" fillId="0" borderId="0" xfId="0" applyNumberFormat="1" applyFont="1" applyAlignment="1">
      <alignment vertical="top"/>
    </xf>
    <xf numFmtId="165" fontId="26" fillId="0" borderId="0" xfId="0" applyNumberFormat="1" applyFont="1" applyAlignment="1">
      <alignment horizontal="right"/>
    </xf>
    <xf numFmtId="0" fontId="15" fillId="0" borderId="0" xfId="0" applyFont="1" applyAlignment="1">
      <alignment horizontal="center" wrapText="1"/>
    </xf>
    <xf numFmtId="0" fontId="11" fillId="0" borderId="0" xfId="0" applyFont="1" applyAlignment="1">
      <alignment horizontal="right" vertical="center"/>
    </xf>
    <xf numFmtId="0" fontId="25" fillId="0" borderId="2" xfId="0" applyFont="1" applyBorder="1" applyAlignment="1">
      <alignment horizontal="center"/>
    </xf>
    <xf numFmtId="0" fontId="21" fillId="0" borderId="0" xfId="0" applyFont="1" applyAlignment="1">
      <alignment horizontal="left" vertical="top" wrapText="1"/>
    </xf>
    <xf numFmtId="0" fontId="21" fillId="0" borderId="0" xfId="0" applyFont="1" applyAlignment="1">
      <alignment horizontal="right" vertical="top" wrapText="1"/>
    </xf>
    <xf numFmtId="0" fontId="26" fillId="0" borderId="0" xfId="0" applyFont="1" applyAlignment="1">
      <alignment horizontal="left" wrapText="1"/>
    </xf>
    <xf numFmtId="0" fontId="22" fillId="0" borderId="0" xfId="0" applyFont="1" applyAlignment="1">
      <alignment horizontal="left" vertical="top" wrapText="1"/>
    </xf>
    <xf numFmtId="0" fontId="24" fillId="0" borderId="0" xfId="0" applyFont="1" applyAlignment="1">
      <alignment horizontal="left" vertical="top" wrapText="1"/>
    </xf>
    <xf numFmtId="0" fontId="24" fillId="0" borderId="2" xfId="0" applyFont="1" applyBorder="1" applyAlignment="1">
      <alignment horizontal="left" vertical="top" wrapText="1"/>
    </xf>
    <xf numFmtId="165" fontId="24" fillId="0" borderId="0" xfId="0" applyNumberFormat="1" applyFont="1" applyAlignment="1">
      <alignment horizontal="left" vertical="top"/>
    </xf>
    <xf numFmtId="165" fontId="24" fillId="0" borderId="2" xfId="0" applyNumberFormat="1" applyFont="1" applyBorder="1" applyAlignment="1">
      <alignment horizontal="right" vertical="top"/>
    </xf>
    <xf numFmtId="0" fontId="20" fillId="0" borderId="0" xfId="0" applyFont="1" applyAlignment="1">
      <alignment horizontal="left" vertical="top" wrapText="1"/>
    </xf>
    <xf numFmtId="0" fontId="23" fillId="0" borderId="0" xfId="0" applyFont="1" applyAlignment="1">
      <alignment vertical="top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165" fontId="11" fillId="0" borderId="0" xfId="0" applyNumberFormat="1" applyFont="1" applyAlignment="1">
      <alignment horizontal="right"/>
    </xf>
    <xf numFmtId="0" fontId="11" fillId="0" borderId="0" xfId="0" applyFont="1" applyAlignment="1">
      <alignment horizontal="right"/>
    </xf>
    <xf numFmtId="0" fontId="17" fillId="0" borderId="2" xfId="0" applyFont="1" applyBorder="1" applyAlignment="1">
      <alignment horizontal="center" vertical="top" wrapText="1"/>
    </xf>
    <xf numFmtId="0" fontId="15" fillId="0" borderId="0" xfId="0" applyFont="1" applyAlignment="1">
      <alignment horizontal="center" wrapText="1"/>
    </xf>
    <xf numFmtId="0" fontId="19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left" wrapText="1"/>
    </xf>
    <xf numFmtId="0" fontId="11" fillId="0" borderId="0" xfId="0" applyFont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26" fillId="0" borderId="0" xfId="1" applyFont="1" applyAlignment="1">
      <alignment horizontal="left" wrapText="1"/>
    </xf>
    <xf numFmtId="0" fontId="21" fillId="0" borderId="0" xfId="0" applyFont="1" applyAlignment="1">
      <alignment horizontal="right"/>
    </xf>
    <xf numFmtId="0" fontId="26" fillId="0" borderId="0" xfId="2" applyFont="1" applyAlignment="1">
      <alignment horizontal="left" wrapText="1"/>
    </xf>
    <xf numFmtId="0" fontId="26" fillId="0" borderId="0" xfId="2" applyFont="1" applyAlignment="1">
      <alignment horizontal="left" wrapText="1"/>
    </xf>
    <xf numFmtId="0" fontId="26" fillId="0" borderId="0" xfId="2" applyFont="1" applyAlignment="1">
      <alignment wrapText="1"/>
    </xf>
    <xf numFmtId="0" fontId="18" fillId="0" borderId="0" xfId="0" applyFont="1" applyAlignment="1">
      <alignment horizontal="left"/>
    </xf>
    <xf numFmtId="0" fontId="0" fillId="0" borderId="0" xfId="0" applyAlignment="1">
      <alignment horizontal="left"/>
    </xf>
    <xf numFmtId="0" fontId="12" fillId="0" borderId="0" xfId="0" applyFont="1" applyAlignment="1">
      <alignment horizontal="left"/>
    </xf>
    <xf numFmtId="0" fontId="15" fillId="0" borderId="0" xfId="0" applyFont="1" applyAlignment="1">
      <alignment horizontal="left" wrapText="1"/>
    </xf>
    <xf numFmtId="0" fontId="11" fillId="0" borderId="1" xfId="0" applyFont="1" applyBorder="1" applyAlignment="1">
      <alignment horizontal="left"/>
    </xf>
    <xf numFmtId="0" fontId="11" fillId="0" borderId="2" xfId="0" applyFont="1" applyBorder="1" applyAlignment="1">
      <alignment horizontal="left"/>
    </xf>
    <xf numFmtId="165" fontId="11" fillId="0" borderId="0" xfId="0" applyNumberFormat="1" applyFont="1" applyAlignment="1">
      <alignment horizontal="left"/>
    </xf>
    <xf numFmtId="0" fontId="9" fillId="0" borderId="1" xfId="0" applyFont="1" applyBorder="1" applyAlignment="1">
      <alignment horizontal="left" vertical="top" wrapText="1"/>
    </xf>
  </cellXfs>
  <cellStyles count="3">
    <cellStyle name="Обычный" xfId="0" builtinId="0"/>
    <cellStyle name="Обычный 2 2" xfId="2" xr:uid="{13791CEE-0E4A-4A60-BD82-12C3ED30CF83}"/>
    <cellStyle name="Обычный 2 28" xfId="1" xr:uid="{9CBA5195-F7BC-4DB7-9CF6-5DAFAD0A9D2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60EFDC-CC57-4DEE-B0EE-2D0622FA1198}">
  <sheetPr>
    <pageSetUpPr fitToPage="1"/>
  </sheetPr>
  <dimension ref="A1:CO570"/>
  <sheetViews>
    <sheetView tabSelected="1" topLeftCell="A418" zoomScaleNormal="100" workbookViewId="0">
      <selection activeCell="L556" sqref="L556"/>
    </sheetView>
  </sheetViews>
  <sheetFormatPr defaultRowHeight="12.75" x14ac:dyDescent="0.2"/>
  <cols>
    <col min="1" max="1" width="5.7109375" customWidth="1"/>
    <col min="2" max="2" width="20.7109375" customWidth="1"/>
    <col min="3" max="3" width="55.7109375" style="121" customWidth="1"/>
    <col min="4" max="4" width="10.7109375" customWidth="1"/>
    <col min="5" max="11" width="15.7109375" customWidth="1"/>
    <col min="12" max="12" width="17.5703125" customWidth="1"/>
    <col min="15" max="91" width="0" hidden="1" customWidth="1"/>
    <col min="92" max="92" width="198.7109375" hidden="1" customWidth="1"/>
    <col min="93" max="93" width="108.7109375" hidden="1" customWidth="1"/>
    <col min="94" max="101" width="0" hidden="1" customWidth="1"/>
  </cols>
  <sheetData>
    <row r="1" spans="1:93" x14ac:dyDescent="0.2">
      <c r="A1" s="9" t="str">
        <f>Source!B1</f>
        <v>Smeta.RU  (495) 974-1589</v>
      </c>
    </row>
    <row r="2" spans="1:93" ht="12.75" customHeight="1" x14ac:dyDescent="0.2">
      <c r="A2" s="113" t="s">
        <v>388</v>
      </c>
      <c r="B2" s="113"/>
      <c r="C2" s="113"/>
      <c r="D2" s="113"/>
      <c r="E2" s="113"/>
      <c r="F2" s="114" t="s">
        <v>425</v>
      </c>
      <c r="G2" s="114"/>
      <c r="H2" s="114"/>
      <c r="I2" s="114"/>
      <c r="J2" s="114"/>
      <c r="K2" s="114"/>
      <c r="L2" s="114"/>
    </row>
    <row r="3" spans="1:93" ht="12.75" customHeight="1" x14ac:dyDescent="0.2">
      <c r="A3" s="13"/>
      <c r="B3" s="13"/>
      <c r="C3" s="10"/>
      <c r="D3" s="13"/>
      <c r="E3" s="13"/>
      <c r="F3" s="14"/>
      <c r="G3" s="14"/>
      <c r="H3" s="14"/>
      <c r="I3" s="14"/>
      <c r="J3" s="14"/>
      <c r="K3" s="14"/>
      <c r="L3" s="14"/>
    </row>
    <row r="4" spans="1:93" ht="12.75" customHeight="1" x14ac:dyDescent="0.2">
      <c r="A4" s="113" t="s">
        <v>389</v>
      </c>
      <c r="B4" s="113"/>
      <c r="C4" s="113"/>
      <c r="D4" s="113"/>
      <c r="E4" s="113"/>
      <c r="F4" s="114" t="str">
        <f>IF(Source!CQ12 &lt;&gt; "", Source!CQ12, "")</f>
        <v>Приказ Минстроя России от 30.12.2021 г. № 1046/пр</v>
      </c>
      <c r="G4" s="114"/>
      <c r="H4" s="114"/>
      <c r="I4" s="114"/>
      <c r="J4" s="114"/>
      <c r="K4" s="114"/>
      <c r="L4" s="114"/>
    </row>
    <row r="5" spans="1:93" ht="12.75" customHeight="1" x14ac:dyDescent="0.2">
      <c r="A5" s="13"/>
      <c r="B5" s="13"/>
      <c r="C5" s="10"/>
      <c r="D5" s="13"/>
      <c r="E5" s="13"/>
      <c r="F5" s="14"/>
      <c r="G5" s="14"/>
      <c r="H5" s="14"/>
      <c r="I5" s="14"/>
      <c r="J5" s="14"/>
      <c r="K5" s="14"/>
      <c r="L5" s="14"/>
    </row>
    <row r="6" spans="1:93" ht="76.5" x14ac:dyDescent="0.2">
      <c r="A6" s="113" t="s">
        <v>390</v>
      </c>
      <c r="B6" s="113"/>
      <c r="C6" s="113"/>
      <c r="D6" s="113"/>
      <c r="E6" s="113"/>
      <c r="F6" s="114" t="str">
        <f>IF(Source!CV12 &lt;&gt; "", Source!CV12, "")</f>
        <v>Приказ Минстроя России от 18.05.2022 г. № 378/пр, Приказ Минстроя России от 26.08.2022 г. № 703/пр, Приказ Минстроя России от 26.10.2022 г. № 905/пр;  Приказ Минстроя России от 27.12.2022 г. № 1133/пр; Приказ Минстроя России от 10.02.2023 г. № 84/пр; Приказ Минстроя России от 11.05.2023 г. № 335/пр;  Приказ Минстроя России от 02.08.2023 г. № 551/пр; Приказ Минстроя России от 14.11.2023 г. № 817/пр; Приказ Минстроя России от 16.02.2024 г. № 102/пр;  Приказ Минстроя России от 13.05.2024 г. № 323/пр; Приказ Минстроя России от 09.08.2024 г. № 524/пр; Приказ Минстроя России от 07.11.2024 г. № 747/пр</v>
      </c>
      <c r="G6" s="114"/>
      <c r="H6" s="114"/>
      <c r="I6" s="114"/>
      <c r="J6" s="114"/>
      <c r="K6" s="114"/>
      <c r="L6" s="114"/>
      <c r="CO6" s="11" t="str">
        <f>IF(Source!CV12 &lt;&gt; "", Source!CV12, "")</f>
        <v>Приказ Минстроя России от 18.05.2022 г. № 378/пр, Приказ Минстроя России от 26.08.2022 г. № 703/пр, Приказ Минстроя России от 26.10.2022 г. № 905/пр;  Приказ Минстроя России от 27.12.2022 г. № 1133/пр; Приказ Минстроя России от 10.02.2023 г. № 84/пр; Приказ Минстроя России от 11.05.2023 г. № 335/пр;  Приказ Минстроя России от 02.08.2023 г. № 551/пр; Приказ Минстроя России от 14.11.2023 г. № 817/пр; Приказ Минстроя России от 16.02.2024 г. № 102/пр;  Приказ Минстроя России от 13.05.2024 г. № 323/пр; Приказ Минстроя России от 09.08.2024 г. № 524/пр; Приказ Минстроя России от 07.11.2024 г. № 747/пр</v>
      </c>
    </row>
    <row r="7" spans="1:93" ht="12.75" customHeight="1" x14ac:dyDescent="0.2">
      <c r="A7" s="13"/>
      <c r="B7" s="13"/>
      <c r="C7" s="10"/>
      <c r="D7" s="13"/>
      <c r="E7" s="13"/>
      <c r="F7" s="14"/>
      <c r="G7" s="14"/>
      <c r="H7" s="14"/>
      <c r="I7" s="14"/>
      <c r="J7" s="14"/>
      <c r="K7" s="14"/>
      <c r="L7" s="14"/>
    </row>
    <row r="8" spans="1:93" ht="76.5" customHeight="1" x14ac:dyDescent="0.2">
      <c r="A8" s="113" t="s">
        <v>391</v>
      </c>
      <c r="B8" s="113"/>
      <c r="C8" s="113"/>
      <c r="D8" s="113"/>
      <c r="E8" s="113"/>
      <c r="F8" s="114" t="s">
        <v>291</v>
      </c>
      <c r="G8" s="114"/>
      <c r="H8" s="114"/>
      <c r="I8" s="114"/>
      <c r="J8" s="114"/>
      <c r="K8" s="114"/>
      <c r="L8" s="114"/>
    </row>
    <row r="9" spans="1:93" ht="12.75" customHeight="1" x14ac:dyDescent="0.2">
      <c r="A9" s="13"/>
      <c r="B9" s="13"/>
      <c r="C9" s="10"/>
      <c r="D9" s="13"/>
      <c r="E9" s="13"/>
      <c r="F9" s="14"/>
      <c r="G9" s="14"/>
      <c r="H9" s="14"/>
      <c r="I9" s="14"/>
      <c r="J9" s="14"/>
      <c r="K9" s="14"/>
      <c r="L9" s="14"/>
    </row>
    <row r="10" spans="1:93" ht="38.25" customHeight="1" x14ac:dyDescent="0.2">
      <c r="A10" s="113" t="s">
        <v>392</v>
      </c>
      <c r="B10" s="113"/>
      <c r="C10" s="113"/>
      <c r="D10" s="113"/>
      <c r="E10" s="113"/>
      <c r="F10" s="114" t="s">
        <v>292</v>
      </c>
      <c r="G10" s="114"/>
      <c r="H10" s="114"/>
      <c r="I10" s="114"/>
      <c r="J10" s="114"/>
      <c r="K10" s="114"/>
      <c r="L10" s="114"/>
    </row>
    <row r="11" spans="1:93" ht="12.75" customHeight="1" x14ac:dyDescent="0.2">
      <c r="A11" s="10"/>
      <c r="B11" s="10"/>
      <c r="C11" s="10"/>
      <c r="D11" s="10"/>
      <c r="E11" s="10"/>
      <c r="F11" s="16"/>
      <c r="G11" s="16"/>
      <c r="H11" s="16"/>
      <c r="I11" s="16"/>
      <c r="J11" s="16"/>
      <c r="K11" s="16"/>
      <c r="L11" s="16"/>
    </row>
    <row r="12" spans="1:93" ht="12.75" customHeight="1" x14ac:dyDescent="0.2">
      <c r="A12" s="113" t="s">
        <v>393</v>
      </c>
      <c r="B12" s="113"/>
      <c r="C12" s="113"/>
      <c r="D12" s="113"/>
      <c r="E12" s="113"/>
      <c r="F12" s="114" t="s">
        <v>426</v>
      </c>
      <c r="G12" s="114"/>
      <c r="H12" s="114"/>
      <c r="I12" s="114"/>
      <c r="J12" s="114"/>
      <c r="K12" s="114"/>
      <c r="L12" s="114"/>
    </row>
    <row r="13" spans="1:93" ht="12.75" customHeight="1" x14ac:dyDescent="0.2">
      <c r="A13" s="10"/>
      <c r="B13" s="10"/>
      <c r="C13" s="10"/>
      <c r="D13" s="10"/>
      <c r="E13" s="10"/>
      <c r="F13" s="16"/>
      <c r="G13" s="16"/>
      <c r="H13" s="16"/>
      <c r="I13" s="16"/>
      <c r="J13" s="16"/>
      <c r="K13" s="16"/>
      <c r="L13" s="16"/>
    </row>
    <row r="14" spans="1:93" ht="12.75" customHeight="1" x14ac:dyDescent="0.2">
      <c r="A14" s="113" t="s">
        <v>394</v>
      </c>
      <c r="B14" s="113"/>
      <c r="C14" s="113"/>
      <c r="D14" s="113"/>
      <c r="E14" s="113"/>
      <c r="F14" s="114" t="str">
        <f>IF(Source!CZ12 &lt;&gt; "", Source!CZ12, "")</f>
        <v/>
      </c>
      <c r="G14" s="114"/>
      <c r="H14" s="114"/>
      <c r="I14" s="114"/>
      <c r="J14" s="114"/>
      <c r="K14" s="114"/>
      <c r="L14" s="114"/>
    </row>
    <row r="15" spans="1:93" ht="12.75" customHeight="1" x14ac:dyDescent="0.2">
      <c r="A15" s="10"/>
      <c r="B15" s="10"/>
      <c r="C15" s="10"/>
      <c r="D15" s="10"/>
      <c r="E15" s="10"/>
      <c r="F15" s="16"/>
      <c r="G15" s="16"/>
      <c r="H15" s="16"/>
      <c r="I15" s="16"/>
      <c r="J15" s="16"/>
      <c r="K15" s="16"/>
      <c r="L15" s="14"/>
    </row>
    <row r="16" spans="1:93" ht="12.75" customHeight="1" x14ac:dyDescent="0.2">
      <c r="A16" s="113" t="s">
        <v>395</v>
      </c>
      <c r="B16" s="113"/>
      <c r="C16" s="113"/>
      <c r="D16" s="113"/>
      <c r="E16" s="113"/>
      <c r="F16" s="114" t="str">
        <f>IF(Source!DA12 &lt;&gt; "", Source!DA12, "")</f>
        <v/>
      </c>
      <c r="G16" s="114"/>
      <c r="H16" s="114"/>
      <c r="I16" s="114"/>
      <c r="J16" s="114"/>
      <c r="K16" s="114"/>
      <c r="L16" s="114"/>
    </row>
    <row r="17" spans="1:92" ht="12.75" customHeight="1" x14ac:dyDescent="0.2">
      <c r="A17" s="17"/>
      <c r="B17" s="17"/>
      <c r="C17" s="122"/>
      <c r="D17" s="17"/>
      <c r="E17" s="17"/>
      <c r="F17" s="18"/>
      <c r="G17" s="18"/>
      <c r="H17" s="18"/>
      <c r="I17" s="18"/>
      <c r="J17" s="18"/>
      <c r="K17" s="18"/>
      <c r="L17" s="18"/>
    </row>
    <row r="18" spans="1:92" ht="15.75" x14ac:dyDescent="0.25">
      <c r="A18" s="116"/>
      <c r="B18" s="117" t="s">
        <v>518</v>
      </c>
      <c r="C18" s="117"/>
      <c r="D18" s="118"/>
      <c r="E18" s="119"/>
      <c r="F18" s="119"/>
      <c r="G18" s="17"/>
      <c r="H18" s="17"/>
      <c r="I18" s="17"/>
      <c r="J18" s="17"/>
      <c r="K18" s="17"/>
      <c r="L18" s="17"/>
    </row>
    <row r="19" spans="1:92" ht="15.75" x14ac:dyDescent="0.25">
      <c r="A19" s="116"/>
      <c r="B19" s="118"/>
      <c r="C19" s="118"/>
      <c r="D19" s="118"/>
      <c r="E19" s="119"/>
      <c r="F19" s="119"/>
      <c r="G19" s="17"/>
      <c r="H19" s="17"/>
      <c r="I19" s="17"/>
      <c r="J19" s="17"/>
      <c r="K19" s="17"/>
      <c r="L19" s="17"/>
    </row>
    <row r="20" spans="1:92" ht="15.75" x14ac:dyDescent="0.25">
      <c r="A20" s="116"/>
      <c r="B20" s="117" t="s">
        <v>519</v>
      </c>
      <c r="C20" s="117"/>
      <c r="D20" s="117"/>
      <c r="E20" s="117"/>
      <c r="F20" s="117"/>
      <c r="G20" s="17"/>
      <c r="H20" s="17"/>
      <c r="I20" s="17"/>
      <c r="J20" s="17"/>
      <c r="K20" s="17"/>
      <c r="L20" s="17"/>
    </row>
    <row r="21" spans="1:92" ht="15.75" x14ac:dyDescent="0.25">
      <c r="A21" s="116"/>
      <c r="B21" s="118"/>
      <c r="C21" s="118"/>
      <c r="D21" s="118"/>
      <c r="E21" s="119"/>
      <c r="F21" s="119"/>
      <c r="G21" s="17"/>
      <c r="H21" s="17"/>
      <c r="I21" s="17"/>
      <c r="J21" s="17"/>
      <c r="K21" s="17"/>
      <c r="L21" s="17"/>
    </row>
    <row r="22" spans="1:92" ht="15.75" x14ac:dyDescent="0.25">
      <c r="A22" s="116"/>
      <c r="B22" s="117" t="s">
        <v>520</v>
      </c>
      <c r="C22" s="117"/>
      <c r="D22" s="117"/>
      <c r="E22" s="117"/>
      <c r="F22" s="119"/>
      <c r="G22" s="17"/>
      <c r="H22" s="17"/>
      <c r="I22" s="17"/>
      <c r="J22" s="17"/>
      <c r="K22" s="17"/>
      <c r="L22" s="17"/>
    </row>
    <row r="23" spans="1:92" ht="15.75" x14ac:dyDescent="0.25">
      <c r="A23" s="116"/>
      <c r="B23" s="118"/>
      <c r="C23" s="118"/>
      <c r="D23" s="118"/>
      <c r="E23" s="119"/>
      <c r="F23" s="119"/>
      <c r="G23" s="17"/>
      <c r="H23" s="17"/>
      <c r="I23" s="17"/>
      <c r="J23" s="17"/>
      <c r="K23" s="17"/>
      <c r="L23" s="17"/>
    </row>
    <row r="24" spans="1:92" ht="15.75" x14ac:dyDescent="0.25">
      <c r="A24" s="116"/>
      <c r="B24" s="117" t="s">
        <v>521</v>
      </c>
      <c r="C24" s="117"/>
      <c r="D24" s="118"/>
      <c r="E24" s="118"/>
      <c r="F24" s="119"/>
      <c r="G24" s="17"/>
      <c r="H24" s="17"/>
      <c r="I24" s="17"/>
      <c r="J24" s="17"/>
      <c r="K24" s="17"/>
      <c r="L24" s="17"/>
    </row>
    <row r="25" spans="1:92" ht="14.25" x14ac:dyDescent="0.2">
      <c r="A25" s="19"/>
      <c r="B25" s="19"/>
      <c r="C25" s="120"/>
      <c r="D25" s="19"/>
      <c r="E25" s="19"/>
      <c r="F25" s="20"/>
      <c r="G25" s="20"/>
      <c r="H25" s="20"/>
      <c r="I25" s="20"/>
      <c r="J25" s="20"/>
      <c r="K25" s="20"/>
      <c r="L25" s="20"/>
    </row>
    <row r="26" spans="1:92" ht="15.75" x14ac:dyDescent="0.25">
      <c r="A26" s="110" t="s">
        <v>522</v>
      </c>
      <c r="B26" s="110"/>
      <c r="C26" s="110"/>
      <c r="D26" s="110"/>
      <c r="E26" s="110"/>
      <c r="F26" s="110"/>
      <c r="G26" s="110"/>
      <c r="H26" s="110"/>
      <c r="I26" s="110"/>
      <c r="J26" s="110"/>
      <c r="K26" s="110"/>
      <c r="L26" s="110"/>
    </row>
    <row r="27" spans="1:92" ht="12.75" customHeight="1" x14ac:dyDescent="0.25">
      <c r="A27" s="80"/>
      <c r="B27" s="80"/>
      <c r="C27" s="123"/>
      <c r="D27" s="80"/>
      <c r="E27" s="80"/>
      <c r="F27" s="80"/>
      <c r="G27" s="80"/>
      <c r="H27" s="80"/>
      <c r="I27" s="80"/>
      <c r="J27" s="80"/>
      <c r="K27" s="80"/>
      <c r="L27" s="80"/>
    </row>
    <row r="28" spans="1:92" ht="18" x14ac:dyDescent="0.25">
      <c r="A28" s="111" t="str">
        <f>IF(Source!G54&lt;&gt;"Новая локальная смета", Source!G54, "")</f>
        <v>Реконструкция 2КЛ-10кВ ПС-596 до РТП-12 по адресу: г. Москва, поселение Рязановское, мкр. "Родники". Инв. № 43315095</v>
      </c>
      <c r="B28" s="111"/>
      <c r="C28" s="111"/>
      <c r="D28" s="111"/>
      <c r="E28" s="111"/>
      <c r="F28" s="111"/>
      <c r="G28" s="111"/>
      <c r="H28" s="111"/>
      <c r="I28" s="111"/>
      <c r="J28" s="111"/>
      <c r="K28" s="111"/>
      <c r="L28" s="111"/>
      <c r="CN28" s="21" t="str">
        <f>IF(Source!G54&lt;&gt;"Новая локальная смета", Source!G54, "")</f>
        <v>Реконструкция 2КЛ-10кВ ПС-596 до РТП-12 по адресу: г. Москва, поселение Рязановское, мкр. "Родники". Инв. № 43315095</v>
      </c>
    </row>
    <row r="29" spans="1:92" ht="14.25" customHeight="1" x14ac:dyDescent="0.2">
      <c r="A29" s="109" t="s">
        <v>396</v>
      </c>
      <c r="B29" s="109"/>
      <c r="C29" s="109"/>
      <c r="D29" s="109"/>
      <c r="E29" s="109"/>
      <c r="F29" s="109"/>
      <c r="G29" s="109"/>
      <c r="H29" s="109"/>
      <c r="I29" s="109"/>
      <c r="J29" s="109"/>
      <c r="K29" s="109"/>
      <c r="L29" s="109"/>
    </row>
    <row r="30" spans="1:92" ht="14.25" customHeight="1" x14ac:dyDescent="0.2">
      <c r="A30" s="19"/>
      <c r="B30" s="19"/>
      <c r="C30" s="120"/>
      <c r="D30" s="19"/>
      <c r="E30" s="19"/>
      <c r="F30" s="19"/>
      <c r="G30" s="19"/>
      <c r="H30" s="19"/>
      <c r="I30" s="19"/>
      <c r="J30" s="19"/>
      <c r="K30" s="19"/>
      <c r="L30" s="19"/>
    </row>
    <row r="31" spans="1:92" ht="14.25" customHeight="1" x14ac:dyDescent="0.2">
      <c r="A31" s="19"/>
      <c r="B31" s="19"/>
      <c r="C31" s="120"/>
      <c r="D31" s="19"/>
      <c r="E31" s="19"/>
      <c r="F31" s="19"/>
      <c r="G31" s="19"/>
      <c r="H31" s="19"/>
      <c r="I31" s="19"/>
      <c r="J31" s="19"/>
      <c r="K31" s="19"/>
      <c r="L31" s="19"/>
    </row>
    <row r="32" spans="1:92" ht="12.75" customHeight="1" x14ac:dyDescent="0.2">
      <c r="A32" s="12" t="s">
        <v>397</v>
      </c>
      <c r="B32" s="12"/>
      <c r="C32" s="124" t="s">
        <v>427</v>
      </c>
      <c r="D32" s="12" t="s">
        <v>398</v>
      </c>
      <c r="E32" s="12"/>
      <c r="F32" s="12"/>
      <c r="G32" s="12"/>
      <c r="H32" s="12"/>
      <c r="I32" s="12"/>
      <c r="J32" s="12"/>
      <c r="K32" s="12"/>
      <c r="L32" s="12"/>
    </row>
    <row r="33" spans="1:12" ht="12.75" customHeight="1" x14ac:dyDescent="0.2">
      <c r="A33" s="12"/>
      <c r="B33" s="12"/>
      <c r="C33" s="125"/>
      <c r="D33" s="12"/>
      <c r="E33" s="12"/>
      <c r="F33" s="12"/>
      <c r="G33" s="12"/>
      <c r="H33" s="12"/>
      <c r="I33" s="12"/>
      <c r="J33" s="12"/>
      <c r="K33" s="12"/>
      <c r="L33" s="12"/>
    </row>
    <row r="34" spans="1:12" ht="12.75" customHeight="1" x14ac:dyDescent="0.2">
      <c r="A34" s="12" t="s">
        <v>399</v>
      </c>
      <c r="B34" s="12"/>
      <c r="C34" s="112"/>
      <c r="D34" s="112"/>
      <c r="E34" s="112"/>
      <c r="F34" s="112"/>
      <c r="G34" s="112"/>
      <c r="H34" s="112"/>
      <c r="I34" s="112"/>
      <c r="J34" s="112"/>
      <c r="K34" s="112"/>
      <c r="L34" s="112"/>
    </row>
    <row r="35" spans="1:12" ht="12.75" customHeight="1" x14ac:dyDescent="0.2">
      <c r="A35" s="23"/>
      <c r="B35" s="24"/>
      <c r="C35" s="109" t="s">
        <v>400</v>
      </c>
      <c r="D35" s="109"/>
      <c r="E35" s="109"/>
      <c r="F35" s="109"/>
      <c r="G35" s="109"/>
      <c r="H35" s="109"/>
      <c r="I35" s="109"/>
      <c r="J35" s="109"/>
      <c r="K35" s="109"/>
      <c r="L35" s="109"/>
    </row>
    <row r="36" spans="1:12" ht="14.25" customHeight="1" x14ac:dyDescent="0.2">
      <c r="A36" s="19"/>
      <c r="B36" s="19"/>
      <c r="C36" s="120"/>
      <c r="D36" s="19"/>
      <c r="E36" s="19"/>
      <c r="F36" s="19"/>
      <c r="G36" s="19"/>
      <c r="H36" s="19"/>
      <c r="I36" s="19"/>
      <c r="J36" s="19"/>
      <c r="K36" s="19"/>
      <c r="L36" s="19"/>
    </row>
    <row r="37" spans="1:12" ht="14.25" customHeight="1" x14ac:dyDescent="0.2">
      <c r="A37" s="25" t="s">
        <v>428</v>
      </c>
      <c r="B37" s="19"/>
      <c r="C37" s="120"/>
      <c r="D37" s="26"/>
      <c r="E37" s="19"/>
      <c r="F37" s="19"/>
      <c r="G37" s="19"/>
      <c r="H37" s="19"/>
      <c r="I37" s="19"/>
      <c r="J37" s="19"/>
      <c r="K37" s="19"/>
      <c r="L37" s="19"/>
    </row>
    <row r="38" spans="1:12" ht="14.25" customHeight="1" x14ac:dyDescent="0.2">
      <c r="A38" s="19"/>
      <c r="B38" s="19"/>
      <c r="C38" s="120"/>
      <c r="D38" s="19"/>
      <c r="E38" s="19"/>
      <c r="F38" s="19"/>
      <c r="G38" s="19"/>
      <c r="H38" s="19"/>
      <c r="I38" s="19"/>
      <c r="J38" s="19"/>
      <c r="K38" s="19"/>
      <c r="L38" s="19"/>
    </row>
    <row r="39" spans="1:12" ht="14.25" customHeight="1" x14ac:dyDescent="0.2">
      <c r="A39" s="25" t="s">
        <v>401</v>
      </c>
      <c r="B39" s="19"/>
      <c r="C39" s="107">
        <f>L560/1000</f>
        <v>11917.669164000001</v>
      </c>
      <c r="D39" s="108"/>
      <c r="E39" s="12" t="s">
        <v>402</v>
      </c>
      <c r="F39" s="17"/>
      <c r="G39" s="17"/>
      <c r="H39" s="17"/>
      <c r="I39" s="17"/>
      <c r="J39" s="17"/>
      <c r="K39" s="17"/>
      <c r="L39" s="19"/>
    </row>
    <row r="40" spans="1:12" ht="14.25" customHeight="1" x14ac:dyDescent="0.2">
      <c r="A40" s="25"/>
      <c r="B40" s="19"/>
      <c r="C40" s="126"/>
      <c r="D40" s="27"/>
      <c r="E40" s="12"/>
      <c r="F40" s="17"/>
      <c r="G40" s="12" t="s">
        <v>403</v>
      </c>
      <c r="H40" s="19"/>
      <c r="I40" s="12"/>
      <c r="J40" s="12"/>
      <c r="K40" s="69">
        <f>ROUND(SUM(AR53:AR557)/1000, 2)</f>
        <v>1346.57</v>
      </c>
      <c r="L40" s="12" t="s">
        <v>402</v>
      </c>
    </row>
    <row r="41" spans="1:12" ht="14.25" customHeight="1" x14ac:dyDescent="0.2">
      <c r="A41" s="19"/>
      <c r="B41" s="28" t="s">
        <v>404</v>
      </c>
      <c r="C41" s="126"/>
      <c r="D41" s="19"/>
      <c r="E41" s="12"/>
      <c r="F41" s="17"/>
      <c r="G41" s="12" t="s">
        <v>405</v>
      </c>
      <c r="H41" s="19"/>
      <c r="I41" s="12"/>
      <c r="J41" s="12"/>
      <c r="K41" s="69">
        <f>ROUND(SUM(AT53:AT557)/1000, 2)</f>
        <v>90.69</v>
      </c>
      <c r="L41" s="12" t="s">
        <v>402</v>
      </c>
    </row>
    <row r="42" spans="1:12" ht="14.25" customHeight="1" x14ac:dyDescent="0.2">
      <c r="A42" s="19"/>
      <c r="B42" s="25" t="s">
        <v>406</v>
      </c>
      <c r="C42" s="107">
        <f>ROUND((Source!F273)/1000, 2)</f>
        <v>2703.22</v>
      </c>
      <c r="D42" s="108"/>
      <c r="E42" s="12" t="s">
        <v>402</v>
      </c>
      <c r="F42" s="17"/>
      <c r="G42" s="12" t="s">
        <v>407</v>
      </c>
      <c r="H42" s="19"/>
      <c r="I42" s="12"/>
      <c r="J42" s="27"/>
      <c r="K42" s="70">
        <f>Source!F278</f>
        <v>3215.768</v>
      </c>
      <c r="L42" s="12" t="s">
        <v>296</v>
      </c>
    </row>
    <row r="43" spans="1:12" ht="14.25" customHeight="1" x14ac:dyDescent="0.2">
      <c r="A43" s="19"/>
      <c r="B43" s="25" t="s">
        <v>408</v>
      </c>
      <c r="C43" s="107">
        <f>ROUND((Source!F274)/1000, 2)</f>
        <v>6633.85</v>
      </c>
      <c r="D43" s="108"/>
      <c r="E43" s="12" t="s">
        <v>402</v>
      </c>
      <c r="F43" s="17"/>
      <c r="G43" s="12" t="s">
        <v>409</v>
      </c>
      <c r="H43" s="19"/>
      <c r="I43" s="12"/>
      <c r="J43" s="29"/>
      <c r="K43" s="70">
        <f>Source!F279</f>
        <v>169.30080000000001</v>
      </c>
      <c r="L43" s="12" t="s">
        <v>296</v>
      </c>
    </row>
    <row r="44" spans="1:12" ht="14.25" customHeight="1" x14ac:dyDescent="0.2">
      <c r="A44" s="19"/>
      <c r="B44" s="25" t="s">
        <v>410</v>
      </c>
      <c r="C44" s="107">
        <f>ROUND((Source!F265)/1000, 2)</f>
        <v>0</v>
      </c>
      <c r="D44" s="108"/>
      <c r="E44" s="12" t="s">
        <v>402</v>
      </c>
      <c r="F44" s="17"/>
      <c r="G44" s="12"/>
      <c r="H44" s="12"/>
      <c r="I44" s="12"/>
      <c r="J44" s="12"/>
      <c r="K44" s="17"/>
      <c r="L44" s="12"/>
    </row>
    <row r="45" spans="1:12" ht="14.25" customHeight="1" x14ac:dyDescent="0.2">
      <c r="A45" s="19"/>
      <c r="B45" s="25" t="s">
        <v>411</v>
      </c>
      <c r="C45" s="107">
        <f>ROUND((Source!F275)/1000, 2)</f>
        <v>30.74</v>
      </c>
      <c r="D45" s="108"/>
      <c r="E45" s="12" t="s">
        <v>402</v>
      </c>
      <c r="F45" s="17"/>
      <c r="G45" s="12"/>
      <c r="H45" s="12"/>
      <c r="I45" s="12"/>
      <c r="J45" s="12"/>
      <c r="K45" s="17"/>
      <c r="L45" s="12"/>
    </row>
    <row r="46" spans="1:12" ht="14.25" customHeight="1" x14ac:dyDescent="0.2">
      <c r="A46" s="30"/>
      <c r="B46" s="30"/>
      <c r="C46" s="71"/>
      <c r="D46" s="30"/>
      <c r="E46" s="30"/>
      <c r="F46" s="30"/>
      <c r="G46" s="30"/>
      <c r="H46" s="30"/>
      <c r="I46" s="30"/>
      <c r="J46" s="30"/>
      <c r="K46" s="30"/>
      <c r="L46" s="30"/>
    </row>
    <row r="47" spans="1:12" ht="12.75" customHeight="1" x14ac:dyDescent="0.2">
      <c r="A47" s="93" t="s">
        <v>412</v>
      </c>
      <c r="B47" s="93" t="s">
        <v>413</v>
      </c>
      <c r="C47" s="93" t="s">
        <v>414</v>
      </c>
      <c r="D47" s="93" t="s">
        <v>415</v>
      </c>
      <c r="E47" s="96" t="s">
        <v>416</v>
      </c>
      <c r="F47" s="97"/>
      <c r="G47" s="98"/>
      <c r="H47" s="96" t="s">
        <v>417</v>
      </c>
      <c r="I47" s="97"/>
      <c r="J47" s="97"/>
      <c r="K47" s="97"/>
      <c r="L47" s="98"/>
    </row>
    <row r="48" spans="1:12" ht="12.75" customHeight="1" x14ac:dyDescent="0.2">
      <c r="A48" s="94"/>
      <c r="B48" s="94"/>
      <c r="C48" s="94"/>
      <c r="D48" s="94"/>
      <c r="E48" s="99"/>
      <c r="F48" s="100"/>
      <c r="G48" s="101"/>
      <c r="H48" s="105"/>
      <c r="I48" s="100"/>
      <c r="J48" s="100"/>
      <c r="K48" s="100"/>
      <c r="L48" s="101"/>
    </row>
    <row r="49" spans="1:82" ht="12.75" customHeight="1" x14ac:dyDescent="0.2">
      <c r="A49" s="94"/>
      <c r="B49" s="94"/>
      <c r="C49" s="94"/>
      <c r="D49" s="94"/>
      <c r="E49" s="99"/>
      <c r="F49" s="100"/>
      <c r="G49" s="101"/>
      <c r="H49" s="105"/>
      <c r="I49" s="100"/>
      <c r="J49" s="100"/>
      <c r="K49" s="100"/>
      <c r="L49" s="101"/>
    </row>
    <row r="50" spans="1:82" ht="12.75" customHeight="1" x14ac:dyDescent="0.2">
      <c r="A50" s="94"/>
      <c r="B50" s="94"/>
      <c r="C50" s="94"/>
      <c r="D50" s="94"/>
      <c r="E50" s="102"/>
      <c r="F50" s="103"/>
      <c r="G50" s="104"/>
      <c r="H50" s="106"/>
      <c r="I50" s="103"/>
      <c r="J50" s="103"/>
      <c r="K50" s="103"/>
      <c r="L50" s="104"/>
    </row>
    <row r="51" spans="1:82" ht="51" customHeight="1" x14ac:dyDescent="0.2">
      <c r="A51" s="95"/>
      <c r="B51" s="95"/>
      <c r="C51" s="95"/>
      <c r="D51" s="95"/>
      <c r="E51" s="31" t="s">
        <v>418</v>
      </c>
      <c r="F51" s="31" t="s">
        <v>419</v>
      </c>
      <c r="G51" s="32" t="s">
        <v>420</v>
      </c>
      <c r="H51" s="31" t="s">
        <v>421</v>
      </c>
      <c r="I51" s="31" t="s">
        <v>422</v>
      </c>
      <c r="J51" s="31" t="s">
        <v>423</v>
      </c>
      <c r="K51" s="31" t="s">
        <v>419</v>
      </c>
      <c r="L51" s="31" t="s">
        <v>424</v>
      </c>
    </row>
    <row r="52" spans="1:82" ht="14.25" customHeight="1" x14ac:dyDescent="0.2">
      <c r="A52" s="33">
        <v>1</v>
      </c>
      <c r="B52" s="33">
        <v>2</v>
      </c>
      <c r="C52" s="33">
        <v>3</v>
      </c>
      <c r="D52" s="33">
        <v>4</v>
      </c>
      <c r="E52" s="33">
        <v>5</v>
      </c>
      <c r="F52" s="33">
        <v>6</v>
      </c>
      <c r="G52" s="33">
        <v>7</v>
      </c>
      <c r="H52" s="33">
        <v>8</v>
      </c>
      <c r="I52" s="33">
        <v>9</v>
      </c>
      <c r="J52" s="33">
        <v>10</v>
      </c>
      <c r="K52" s="35">
        <v>11</v>
      </c>
      <c r="L52" s="35">
        <v>12</v>
      </c>
    </row>
    <row r="54" spans="1:82" ht="16.5" x14ac:dyDescent="0.2">
      <c r="A54" s="91" t="s">
        <v>429</v>
      </c>
      <c r="B54" s="91"/>
      <c r="C54" s="91"/>
      <c r="D54" s="91"/>
      <c r="E54" s="91"/>
      <c r="F54" s="91"/>
      <c r="G54" s="91"/>
      <c r="H54" s="91"/>
      <c r="I54" s="91"/>
      <c r="J54" s="91"/>
      <c r="K54" s="91"/>
      <c r="L54" s="91"/>
    </row>
    <row r="55" spans="1:82" ht="28.5" x14ac:dyDescent="0.2">
      <c r="A55" s="36" t="s">
        <v>74</v>
      </c>
      <c r="B55" s="38" t="s">
        <v>430</v>
      </c>
      <c r="C55" s="38" t="str">
        <f>Source!G62</f>
        <v>Разработка грунта вручную в траншеях глубиной до 2 м без креплений с откосами, группа грунтов: 2</v>
      </c>
      <c r="D55" s="39" t="str">
        <f>Source!H62</f>
        <v>100 м3</v>
      </c>
      <c r="E55" s="40">
        <f>Source!K62</f>
        <v>6.3360000000000003</v>
      </c>
      <c r="F55" s="40"/>
      <c r="G55" s="40">
        <f>Source!I62</f>
        <v>6.3360000000000003</v>
      </c>
      <c r="H55" s="42"/>
      <c r="I55" s="41"/>
      <c r="J55" s="42"/>
      <c r="K55" s="41"/>
      <c r="L55" s="42"/>
    </row>
    <row r="56" spans="1:82" x14ac:dyDescent="0.2">
      <c r="B56" s="43" t="s">
        <v>378</v>
      </c>
      <c r="C56" s="92" t="s">
        <v>431</v>
      </c>
      <c r="D56" s="92"/>
      <c r="E56" s="92"/>
      <c r="F56" s="92"/>
      <c r="G56" s="92"/>
      <c r="H56" s="92"/>
      <c r="I56" s="92"/>
      <c r="J56" s="92"/>
      <c r="K56" s="92"/>
      <c r="L56" s="92"/>
    </row>
    <row r="57" spans="1:82" x14ac:dyDescent="0.2">
      <c r="C57" s="56" t="str">
        <f>"Объем: "&amp;Source!I62&amp;"=633,6/"&amp;"100"</f>
        <v>Объем: 6,336=633,6/100</v>
      </c>
    </row>
    <row r="58" spans="1:82" ht="15" x14ac:dyDescent="0.2">
      <c r="A58" s="37"/>
      <c r="B58" s="40">
        <v>1</v>
      </c>
      <c r="C58" s="37" t="s">
        <v>432</v>
      </c>
      <c r="D58" s="39" t="s">
        <v>296</v>
      </c>
      <c r="E58" s="44"/>
      <c r="F58" s="40"/>
      <c r="G58" s="44">
        <f>Source!U62</f>
        <v>1122.1056000000001</v>
      </c>
      <c r="H58" s="40"/>
      <c r="I58" s="40"/>
      <c r="J58" s="40"/>
      <c r="K58" s="40"/>
      <c r="L58" s="45">
        <f>SUM(L59:L59)-SUMIF(CE59:CE59, 1, L59:L59)</f>
        <v>447753.8</v>
      </c>
    </row>
    <row r="59" spans="1:82" ht="14.25" x14ac:dyDescent="0.2">
      <c r="A59" s="38"/>
      <c r="B59" s="38" t="s">
        <v>294</v>
      </c>
      <c r="C59" s="46" t="s">
        <v>295</v>
      </c>
      <c r="D59" s="47" t="s">
        <v>296</v>
      </c>
      <c r="E59" s="48">
        <v>154</v>
      </c>
      <c r="F59" s="48">
        <f>ROUND(1.15,7)</f>
        <v>1.1499999999999999</v>
      </c>
      <c r="G59" s="48">
        <f>SmtRes!CX1</f>
        <v>1122.1056000000001</v>
      </c>
      <c r="H59" s="49"/>
      <c r="I59" s="50"/>
      <c r="J59" s="49">
        <f>SmtRes!CZ1</f>
        <v>399.03</v>
      </c>
      <c r="K59" s="50"/>
      <c r="L59" s="49">
        <f>SmtRes!DI1</f>
        <v>447753.8</v>
      </c>
    </row>
    <row r="60" spans="1:82" ht="15" x14ac:dyDescent="0.2">
      <c r="A60" s="38"/>
      <c r="B60" s="38"/>
      <c r="C60" s="53" t="s">
        <v>433</v>
      </c>
      <c r="D60" s="39"/>
      <c r="E60" s="40"/>
      <c r="F60" s="40"/>
      <c r="G60" s="40"/>
      <c r="H60" s="42"/>
      <c r="I60" s="41"/>
      <c r="J60" s="42"/>
      <c r="K60" s="41"/>
      <c r="L60" s="42">
        <f>L58</f>
        <v>447753.8</v>
      </c>
    </row>
    <row r="61" spans="1:82" ht="14.25" x14ac:dyDescent="0.2">
      <c r="A61" s="38"/>
      <c r="B61" s="38"/>
      <c r="C61" s="38" t="s">
        <v>434</v>
      </c>
      <c r="D61" s="39"/>
      <c r="E61" s="40"/>
      <c r="F61" s="40"/>
      <c r="G61" s="40"/>
      <c r="H61" s="42"/>
      <c r="I61" s="41"/>
      <c r="J61" s="42"/>
      <c r="K61" s="41"/>
      <c r="L61" s="42">
        <f>SUM(AR55:AR64)+SUM(AS55:AS64)+SUM(AT55:AT64)+SUM(AU55:AU64)+SUM(AV55:AV64)</f>
        <v>447753.8</v>
      </c>
    </row>
    <row r="62" spans="1:82" ht="28.5" x14ac:dyDescent="0.2">
      <c r="A62" s="38"/>
      <c r="B62" s="38" t="s">
        <v>86</v>
      </c>
      <c r="C62" s="38" t="s">
        <v>435</v>
      </c>
      <c r="D62" s="39" t="s">
        <v>350</v>
      </c>
      <c r="E62" s="40">
        <f>Source!BZ62</f>
        <v>89</v>
      </c>
      <c r="F62" s="40"/>
      <c r="G62" s="40">
        <f>Source!AT62</f>
        <v>89</v>
      </c>
      <c r="H62" s="42"/>
      <c r="I62" s="41"/>
      <c r="J62" s="42"/>
      <c r="K62" s="41"/>
      <c r="L62" s="42">
        <f>SUM(AZ55:AZ64)</f>
        <v>398500.88</v>
      </c>
    </row>
    <row r="63" spans="1:82" ht="28.5" x14ac:dyDescent="0.2">
      <c r="A63" s="46"/>
      <c r="B63" s="46" t="s">
        <v>87</v>
      </c>
      <c r="C63" s="46" t="s">
        <v>436</v>
      </c>
      <c r="D63" s="47" t="s">
        <v>350</v>
      </c>
      <c r="E63" s="48">
        <f>Source!CA62</f>
        <v>40</v>
      </c>
      <c r="F63" s="48"/>
      <c r="G63" s="48">
        <f>Source!AU62</f>
        <v>40</v>
      </c>
      <c r="H63" s="49"/>
      <c r="I63" s="50"/>
      <c r="J63" s="49"/>
      <c r="K63" s="50"/>
      <c r="L63" s="49">
        <f>SUM(BA55:BA64)</f>
        <v>179101.52</v>
      </c>
    </row>
    <row r="64" spans="1:82" ht="15" x14ac:dyDescent="0.2">
      <c r="C64" s="89" t="s">
        <v>437</v>
      </c>
      <c r="D64" s="89"/>
      <c r="E64" s="89"/>
      <c r="F64" s="89"/>
      <c r="G64" s="89"/>
      <c r="H64" s="89"/>
      <c r="I64" s="90">
        <f>K64/E55</f>
        <v>161830.20833333331</v>
      </c>
      <c r="J64" s="90"/>
      <c r="K64" s="90">
        <f>L58+L62+L63</f>
        <v>1025356.2</v>
      </c>
      <c r="L64" s="90"/>
      <c r="AD64">
        <f>ROUND((Source!AT62/100)*((ROUND(SUMIF(SmtRes!AQ1:'SmtRes'!AQ1,"=1",SmtRes!AD1:'SmtRes'!AD1)*Source!I62, 2)+ROUND(SUMIF(SmtRes!AQ1:'SmtRes'!AQ1,"=1",SmtRes!AC1:'SmtRes'!AC1)*Source!I62, 2))), 2)</f>
        <v>2250.14</v>
      </c>
      <c r="AE64">
        <f>ROUND((Source!AU62/100)*((ROUND(SUMIF(SmtRes!AQ1:'SmtRes'!AQ1,"=1",SmtRes!AD1:'SmtRes'!AD1)*Source!I62, 2)+ROUND(SUMIF(SmtRes!AQ1:'SmtRes'!AQ1,"=1",SmtRes!AC1:'SmtRes'!AC1)*Source!I62, 2))), 2)</f>
        <v>1011.3</v>
      </c>
      <c r="AN64" s="51">
        <f>L58+L62+L63</f>
        <v>1025356.2</v>
      </c>
      <c r="AO64">
        <f>0</f>
        <v>0</v>
      </c>
      <c r="AQ64" t="s">
        <v>438</v>
      </c>
      <c r="AR64" s="51">
        <f>L58</f>
        <v>447753.8</v>
      </c>
      <c r="AT64">
        <f>0</f>
        <v>0</v>
      </c>
      <c r="AV64" t="s">
        <v>438</v>
      </c>
      <c r="AW64">
        <f>0</f>
        <v>0</v>
      </c>
      <c r="AZ64">
        <f>Source!X62</f>
        <v>398500.88</v>
      </c>
      <c r="BA64">
        <f>Source!Y62</f>
        <v>179101.52</v>
      </c>
      <c r="CD64">
        <v>1</v>
      </c>
    </row>
    <row r="65" spans="1:82" ht="28.5" x14ac:dyDescent="0.2">
      <c r="A65" s="36" t="s">
        <v>88</v>
      </c>
      <c r="B65" s="38" t="s">
        <v>439</v>
      </c>
      <c r="C65" s="38" t="str">
        <f>Source!G63</f>
        <v>Засыпка вручную траншей, пазух котлованов и ям, группа грунтов: 1</v>
      </c>
      <c r="D65" s="39" t="str">
        <f>Source!H63</f>
        <v>100 м3</v>
      </c>
      <c r="E65" s="40">
        <f>Source!K63</f>
        <v>6.3360000000000003</v>
      </c>
      <c r="F65" s="40"/>
      <c r="G65" s="40">
        <f>Source!I63</f>
        <v>6.3360000000000003</v>
      </c>
      <c r="H65" s="42"/>
      <c r="I65" s="41"/>
      <c r="J65" s="42"/>
      <c r="K65" s="41"/>
      <c r="L65" s="42"/>
    </row>
    <row r="66" spans="1:82" x14ac:dyDescent="0.2">
      <c r="B66" s="43" t="s">
        <v>381</v>
      </c>
      <c r="C66" s="92" t="s">
        <v>440</v>
      </c>
      <c r="D66" s="92"/>
      <c r="E66" s="92"/>
      <c r="F66" s="92"/>
      <c r="G66" s="92"/>
      <c r="H66" s="92"/>
      <c r="I66" s="92"/>
      <c r="J66" s="92"/>
      <c r="K66" s="92"/>
      <c r="L66" s="92"/>
    </row>
    <row r="67" spans="1:82" x14ac:dyDescent="0.2">
      <c r="C67" s="56" t="str">
        <f>"Объем: "&amp;Source!I63&amp;"=633,6/"&amp;"100"</f>
        <v>Объем: 6,336=633,6/100</v>
      </c>
    </row>
    <row r="68" spans="1:82" ht="15" x14ac:dyDescent="0.2">
      <c r="A68" s="37"/>
      <c r="B68" s="40">
        <v>1</v>
      </c>
      <c r="C68" s="37" t="s">
        <v>432</v>
      </c>
      <c r="D68" s="39" t="s">
        <v>296</v>
      </c>
      <c r="E68" s="44"/>
      <c r="F68" s="40"/>
      <c r="G68" s="44">
        <f>Source!U63</f>
        <v>616.80960000000005</v>
      </c>
      <c r="H68" s="40"/>
      <c r="I68" s="40"/>
      <c r="J68" s="40"/>
      <c r="K68" s="40"/>
      <c r="L68" s="45">
        <f>SUM(L69:L69)-SUMIF(CE69:CE69, 1, L69:L69)</f>
        <v>235960.51</v>
      </c>
    </row>
    <row r="69" spans="1:82" ht="14.25" x14ac:dyDescent="0.2">
      <c r="A69" s="38"/>
      <c r="B69" s="38" t="s">
        <v>297</v>
      </c>
      <c r="C69" s="46" t="s">
        <v>298</v>
      </c>
      <c r="D69" s="47" t="s">
        <v>296</v>
      </c>
      <c r="E69" s="48">
        <v>88.5</v>
      </c>
      <c r="F69" s="48">
        <f>ROUND(1.1,7)</f>
        <v>1.1000000000000001</v>
      </c>
      <c r="G69" s="48">
        <f>SmtRes!CX2</f>
        <v>616.80960000000005</v>
      </c>
      <c r="H69" s="49"/>
      <c r="I69" s="50"/>
      <c r="J69" s="49">
        <f>SmtRes!CZ2</f>
        <v>382.55</v>
      </c>
      <c r="K69" s="50"/>
      <c r="L69" s="49">
        <f>SmtRes!DI2</f>
        <v>235960.51</v>
      </c>
    </row>
    <row r="70" spans="1:82" ht="15" x14ac:dyDescent="0.2">
      <c r="A70" s="38"/>
      <c r="B70" s="38"/>
      <c r="C70" s="53" t="s">
        <v>433</v>
      </c>
      <c r="D70" s="39"/>
      <c r="E70" s="40"/>
      <c r="F70" s="40"/>
      <c r="G70" s="40"/>
      <c r="H70" s="42"/>
      <c r="I70" s="41"/>
      <c r="J70" s="42"/>
      <c r="K70" s="41"/>
      <c r="L70" s="42">
        <f>L68</f>
        <v>235960.51</v>
      </c>
    </row>
    <row r="71" spans="1:82" ht="14.25" x14ac:dyDescent="0.2">
      <c r="A71" s="38"/>
      <c r="B71" s="38"/>
      <c r="C71" s="38" t="s">
        <v>434</v>
      </c>
      <c r="D71" s="39"/>
      <c r="E71" s="40"/>
      <c r="F71" s="40"/>
      <c r="G71" s="40"/>
      <c r="H71" s="42"/>
      <c r="I71" s="41"/>
      <c r="J71" s="42"/>
      <c r="K71" s="41"/>
      <c r="L71" s="42">
        <f>SUM(AR65:AR74)+SUM(AS65:AS74)+SUM(AT65:AT74)+SUM(AU65:AU74)+SUM(AV65:AV74)</f>
        <v>235960.51</v>
      </c>
    </row>
    <row r="72" spans="1:82" ht="28.5" x14ac:dyDescent="0.2">
      <c r="A72" s="38"/>
      <c r="B72" s="38" t="s">
        <v>86</v>
      </c>
      <c r="C72" s="38" t="s">
        <v>435</v>
      </c>
      <c r="D72" s="39" t="s">
        <v>350</v>
      </c>
      <c r="E72" s="40">
        <f>Source!BZ63</f>
        <v>89</v>
      </c>
      <c r="F72" s="40"/>
      <c r="G72" s="40">
        <f>Source!AT63</f>
        <v>89</v>
      </c>
      <c r="H72" s="42"/>
      <c r="I72" s="41"/>
      <c r="J72" s="42"/>
      <c r="K72" s="41"/>
      <c r="L72" s="42">
        <f>SUM(AZ65:AZ74)</f>
        <v>210004.85</v>
      </c>
    </row>
    <row r="73" spans="1:82" ht="28.5" x14ac:dyDescent="0.2">
      <c r="A73" s="46"/>
      <c r="B73" s="46" t="s">
        <v>87</v>
      </c>
      <c r="C73" s="46" t="s">
        <v>436</v>
      </c>
      <c r="D73" s="47" t="s">
        <v>350</v>
      </c>
      <c r="E73" s="48">
        <f>Source!CA63</f>
        <v>40</v>
      </c>
      <c r="F73" s="48"/>
      <c r="G73" s="48">
        <f>Source!AU63</f>
        <v>40</v>
      </c>
      <c r="H73" s="49"/>
      <c r="I73" s="50"/>
      <c r="J73" s="49"/>
      <c r="K73" s="50"/>
      <c r="L73" s="49">
        <f>SUM(BA65:BA74)</f>
        <v>94384.2</v>
      </c>
    </row>
    <row r="74" spans="1:82" ht="15" x14ac:dyDescent="0.2">
      <c r="C74" s="89" t="s">
        <v>437</v>
      </c>
      <c r="D74" s="89"/>
      <c r="E74" s="89"/>
      <c r="F74" s="89"/>
      <c r="G74" s="89"/>
      <c r="H74" s="89"/>
      <c r="I74" s="90">
        <f>K74/E65</f>
        <v>85282.443181818162</v>
      </c>
      <c r="J74" s="90"/>
      <c r="K74" s="90">
        <f>L68+L72+L73</f>
        <v>540349.55999999994</v>
      </c>
      <c r="L74" s="90"/>
      <c r="AD74">
        <f>ROUND((Source!AT63/100)*((ROUND(SUMIF(SmtRes!AQ2:'SmtRes'!AQ2,"=1",SmtRes!AD2:'SmtRes'!AD2)*Source!I63, 2)+ROUND(SUMIF(SmtRes!AQ2:'SmtRes'!AQ2,"=1",SmtRes!AC2:'SmtRes'!AC2)*Source!I63, 2))), 2)</f>
        <v>2157.2199999999998</v>
      </c>
      <c r="AE74">
        <f>ROUND((Source!AU63/100)*((ROUND(SUMIF(SmtRes!AQ2:'SmtRes'!AQ2,"=1",SmtRes!AD2:'SmtRes'!AD2)*Source!I63, 2)+ROUND(SUMIF(SmtRes!AQ2:'SmtRes'!AQ2,"=1",SmtRes!AC2:'SmtRes'!AC2)*Source!I63, 2))), 2)</f>
        <v>969.54</v>
      </c>
      <c r="AN74" s="51">
        <f>L68+L72+L73</f>
        <v>540349.55999999994</v>
      </c>
      <c r="AO74">
        <f>0</f>
        <v>0</v>
      </c>
      <c r="AQ74" t="s">
        <v>438</v>
      </c>
      <c r="AR74" s="51">
        <f>L68</f>
        <v>235960.51</v>
      </c>
      <c r="AT74">
        <f>0</f>
        <v>0</v>
      </c>
      <c r="AV74" t="s">
        <v>438</v>
      </c>
      <c r="AW74">
        <f>0</f>
        <v>0</v>
      </c>
      <c r="AZ74">
        <f>Source!X63</f>
        <v>210004.85</v>
      </c>
      <c r="BA74">
        <f>Source!Y63</f>
        <v>94384.2</v>
      </c>
      <c r="CD74">
        <v>1</v>
      </c>
    </row>
    <row r="75" spans="1:82" ht="42.75" x14ac:dyDescent="0.2">
      <c r="A75" s="36" t="s">
        <v>95</v>
      </c>
      <c r="B75" s="38" t="s">
        <v>441</v>
      </c>
      <c r="C75" s="38" t="str">
        <f>Source!G64</f>
        <v>Подготовка почвы для устройства обыкновенного газона с внесением растительной земли слоем 15 см: вручную</v>
      </c>
      <c r="D75" s="39" t="str">
        <f>Source!H64</f>
        <v>100 м2</v>
      </c>
      <c r="E75" s="40">
        <f>Source!K64</f>
        <v>13.2</v>
      </c>
      <c r="F75" s="40"/>
      <c r="G75" s="40">
        <f>Source!I64</f>
        <v>13.2</v>
      </c>
      <c r="H75" s="42"/>
      <c r="I75" s="41"/>
      <c r="J75" s="42"/>
      <c r="K75" s="41"/>
      <c r="L75" s="42"/>
    </row>
    <row r="76" spans="1:82" x14ac:dyDescent="0.2">
      <c r="C76" s="56" t="str">
        <f>"Объем: "&amp;Source!I64&amp;"=1320/"&amp;"100"</f>
        <v>Объем: 13,2=1320/100</v>
      </c>
    </row>
    <row r="77" spans="1:82" ht="15" x14ac:dyDescent="0.2">
      <c r="A77" s="37"/>
      <c r="B77" s="40">
        <v>1</v>
      </c>
      <c r="C77" s="37" t="s">
        <v>432</v>
      </c>
      <c r="D77" s="39" t="s">
        <v>296</v>
      </c>
      <c r="E77" s="44"/>
      <c r="F77" s="40"/>
      <c r="G77" s="44">
        <f>Source!U64</f>
        <v>528</v>
      </c>
      <c r="H77" s="40"/>
      <c r="I77" s="40"/>
      <c r="J77" s="40"/>
      <c r="K77" s="40"/>
      <c r="L77" s="45">
        <f>SUM(L78:L78)-SUMIF(CE78:CE78, 1, L78:L78)</f>
        <v>214552.8</v>
      </c>
    </row>
    <row r="78" spans="1:82" ht="14.25" x14ac:dyDescent="0.2">
      <c r="A78" s="38"/>
      <c r="B78" s="38" t="s">
        <v>299</v>
      </c>
      <c r="C78" s="46" t="s">
        <v>300</v>
      </c>
      <c r="D78" s="47" t="s">
        <v>296</v>
      </c>
      <c r="E78" s="48">
        <v>40</v>
      </c>
      <c r="F78" s="48"/>
      <c r="G78" s="48">
        <f>SmtRes!CX3</f>
        <v>528</v>
      </c>
      <c r="H78" s="49"/>
      <c r="I78" s="50"/>
      <c r="J78" s="49">
        <f>SmtRes!CZ3</f>
        <v>406.35</v>
      </c>
      <c r="K78" s="50"/>
      <c r="L78" s="49">
        <f>SmtRes!DI3</f>
        <v>214552.8</v>
      </c>
    </row>
    <row r="79" spans="1:82" ht="15" x14ac:dyDescent="0.2">
      <c r="A79" s="38"/>
      <c r="B79" s="38"/>
      <c r="C79" s="53" t="s">
        <v>433</v>
      </c>
      <c r="D79" s="39"/>
      <c r="E79" s="40"/>
      <c r="F79" s="40"/>
      <c r="G79" s="40"/>
      <c r="H79" s="42"/>
      <c r="I79" s="41"/>
      <c r="J79" s="42"/>
      <c r="K79" s="41"/>
      <c r="L79" s="42">
        <f>L77</f>
        <v>214552.8</v>
      </c>
    </row>
    <row r="80" spans="1:82" ht="14.25" x14ac:dyDescent="0.2">
      <c r="A80" s="36" t="s">
        <v>442</v>
      </c>
      <c r="B80" s="38" t="str">
        <f>Source!F65</f>
        <v>16.2.01.02-0001</v>
      </c>
      <c r="C80" s="38" t="str">
        <f>Source!G65</f>
        <v>Земля растительная</v>
      </c>
      <c r="D80" s="39" t="str">
        <f>Source!H65</f>
        <v>м3</v>
      </c>
      <c r="E80" s="40">
        <f>SmtRes!AT4</f>
        <v>15</v>
      </c>
      <c r="F80" s="40"/>
      <c r="G80" s="40">
        <f>Source!I65</f>
        <v>198</v>
      </c>
      <c r="H80" s="42">
        <f>Source!AL65+Source!AO65+Source!AM65+Source!AN65</f>
        <v>1062.45</v>
      </c>
      <c r="I80" s="41">
        <f>IF(Source!BC65&lt;&gt; 0, Source!BC65, 1)</f>
        <v>1.0900000000000001</v>
      </c>
      <c r="J80" s="42">
        <f>ROUND(H80*I80, 2)</f>
        <v>1158.07</v>
      </c>
      <c r="K80" s="41"/>
      <c r="L80" s="42">
        <f>Source!P65</f>
        <v>229297.86</v>
      </c>
      <c r="AD80">
        <f>ROUND((Source!AT65/100)*((ROUND(ROUND(Source!AO65,2)*Source!I65, 2)+ROUND(ROUND(Source!AN65,2)*Source!I65, 2))), 2)</f>
        <v>0</v>
      </c>
      <c r="AE80">
        <f>ROUND((Source!AU65/100)*((ROUND(ROUND(Source!AO65,2)*Source!I65, 2)+ROUND(ROUND(Source!AN65,2)*Source!I65, 2))), 2)</f>
        <v>0</v>
      </c>
      <c r="AN80">
        <f>L80</f>
        <v>229297.86</v>
      </c>
      <c r="AW80">
        <f>L80</f>
        <v>229297.86</v>
      </c>
      <c r="AZ80">
        <f>Source!X65</f>
        <v>0</v>
      </c>
      <c r="BA80">
        <f>Source!Y65</f>
        <v>0</v>
      </c>
      <c r="CD80">
        <v>1</v>
      </c>
    </row>
    <row r="81" spans="1:83" ht="14.25" x14ac:dyDescent="0.2">
      <c r="A81" s="38"/>
      <c r="B81" s="38"/>
      <c r="C81" s="38" t="s">
        <v>434</v>
      </c>
      <c r="D81" s="39"/>
      <c r="E81" s="40"/>
      <c r="F81" s="40"/>
      <c r="G81" s="40"/>
      <c r="H81" s="42"/>
      <c r="I81" s="41"/>
      <c r="J81" s="42"/>
      <c r="K81" s="41"/>
      <c r="L81" s="42">
        <f>SUM(AR75:AR84)+SUM(AS75:AS84)+SUM(AT75:AT84)+SUM(AU75:AU84)+SUM(AV75:AV84)</f>
        <v>214552.8</v>
      </c>
    </row>
    <row r="82" spans="1:83" ht="14.25" x14ac:dyDescent="0.2">
      <c r="A82" s="38"/>
      <c r="B82" s="38" t="s">
        <v>102</v>
      </c>
      <c r="C82" s="38" t="s">
        <v>443</v>
      </c>
      <c r="D82" s="39" t="s">
        <v>350</v>
      </c>
      <c r="E82" s="40">
        <f>Source!BZ64</f>
        <v>103</v>
      </c>
      <c r="F82" s="40"/>
      <c r="G82" s="40">
        <f>Source!AT64</f>
        <v>103</v>
      </c>
      <c r="H82" s="42"/>
      <c r="I82" s="41"/>
      <c r="J82" s="42"/>
      <c r="K82" s="41"/>
      <c r="L82" s="42">
        <f>SUM(AZ75:AZ84)</f>
        <v>220989.38</v>
      </c>
    </row>
    <row r="83" spans="1:83" ht="14.25" x14ac:dyDescent="0.2">
      <c r="A83" s="46"/>
      <c r="B83" s="46" t="s">
        <v>103</v>
      </c>
      <c r="C83" s="46" t="s">
        <v>444</v>
      </c>
      <c r="D83" s="47" t="s">
        <v>350</v>
      </c>
      <c r="E83" s="48">
        <f>Source!CA64</f>
        <v>72</v>
      </c>
      <c r="F83" s="48"/>
      <c r="G83" s="48">
        <f>Source!AU64</f>
        <v>72</v>
      </c>
      <c r="H83" s="49"/>
      <c r="I83" s="50"/>
      <c r="J83" s="49"/>
      <c r="K83" s="50"/>
      <c r="L83" s="49">
        <f>SUM(BA75:BA84)</f>
        <v>154478.01999999999</v>
      </c>
    </row>
    <row r="84" spans="1:83" ht="15" x14ac:dyDescent="0.2">
      <c r="C84" s="89" t="s">
        <v>437</v>
      </c>
      <c r="D84" s="89"/>
      <c r="E84" s="89"/>
      <c r="F84" s="89"/>
      <c r="G84" s="89"/>
      <c r="H84" s="89"/>
      <c r="I84" s="90">
        <f>K84/E75</f>
        <v>62069.549999999996</v>
      </c>
      <c r="J84" s="90"/>
      <c r="K84" s="90">
        <f>L77+L82+L83+SUM(L80:L80)</f>
        <v>819318.05999999994</v>
      </c>
      <c r="L84" s="90"/>
      <c r="AD84">
        <f>ROUND((Source!AT64/100)*((ROUND(SUMIF(SmtRes!AQ3:'SmtRes'!AQ4,"=1",SmtRes!AD3:'SmtRes'!AD4)*Source!I64, 2)+ROUND(SUMIF(SmtRes!AQ3:'SmtRes'!AQ4,"=1",SmtRes!AC3:'SmtRes'!AC4)*Source!I64, 2))), 2)</f>
        <v>5524.73</v>
      </c>
      <c r="AE84">
        <f>ROUND((Source!AU64/100)*((ROUND(SUMIF(SmtRes!AQ3:'SmtRes'!AQ4,"=1",SmtRes!AD3:'SmtRes'!AD4)*Source!I64, 2)+ROUND(SUMIF(SmtRes!AQ3:'SmtRes'!AQ4,"=1",SmtRes!AC3:'SmtRes'!AC4)*Source!I64, 2))), 2)</f>
        <v>3861.95</v>
      </c>
      <c r="AN84" s="51">
        <f>L77+L82+L83</f>
        <v>590020.19999999995</v>
      </c>
      <c r="AO84">
        <f>0</f>
        <v>0</v>
      </c>
      <c r="AQ84" t="s">
        <v>438</v>
      </c>
      <c r="AR84" s="51">
        <f>L77</f>
        <v>214552.8</v>
      </c>
      <c r="AT84">
        <f>0</f>
        <v>0</v>
      </c>
      <c r="AV84" t="s">
        <v>438</v>
      </c>
      <c r="AW84">
        <f>0</f>
        <v>0</v>
      </c>
      <c r="AZ84">
        <f>Source!X64</f>
        <v>220989.38</v>
      </c>
      <c r="BA84">
        <f>Source!Y64</f>
        <v>154478.01999999999</v>
      </c>
      <c r="CD84">
        <v>1</v>
      </c>
    </row>
    <row r="85" spans="1:83" ht="14.25" x14ac:dyDescent="0.2">
      <c r="A85" s="36" t="s">
        <v>110</v>
      </c>
      <c r="B85" s="38" t="s">
        <v>445</v>
      </c>
      <c r="C85" s="38" t="str">
        <f>Source!G66</f>
        <v>Посев газонов обыкновенных вручную</v>
      </c>
      <c r="D85" s="39" t="str">
        <f>Source!H66</f>
        <v>100 м2</v>
      </c>
      <c r="E85" s="40">
        <f>Source!K66</f>
        <v>13.2</v>
      </c>
      <c r="F85" s="40"/>
      <c r="G85" s="40">
        <f>Source!I66</f>
        <v>13.2</v>
      </c>
      <c r="H85" s="42"/>
      <c r="I85" s="41"/>
      <c r="J85" s="42"/>
      <c r="K85" s="41"/>
      <c r="L85" s="42"/>
    </row>
    <row r="86" spans="1:83" x14ac:dyDescent="0.2">
      <c r="C86" s="56" t="str">
        <f>"Объем: "&amp;Source!I66&amp;"=1320/"&amp;"100"</f>
        <v>Объем: 13,2=1320/100</v>
      </c>
    </row>
    <row r="87" spans="1:83" ht="15" x14ac:dyDescent="0.2">
      <c r="A87" s="37"/>
      <c r="B87" s="40">
        <v>1</v>
      </c>
      <c r="C87" s="37" t="s">
        <v>432</v>
      </c>
      <c r="D87" s="39" t="s">
        <v>296</v>
      </c>
      <c r="E87" s="44"/>
      <c r="F87" s="40"/>
      <c r="G87" s="44">
        <f>Source!U66</f>
        <v>74.843999999999994</v>
      </c>
      <c r="H87" s="40"/>
      <c r="I87" s="40"/>
      <c r="J87" s="40"/>
      <c r="K87" s="40"/>
      <c r="L87" s="45">
        <f>SUM(L88:L89)-SUMIF(CE88:CE89, 1, L88:L89)</f>
        <v>30188.78</v>
      </c>
    </row>
    <row r="88" spans="1:83" ht="14.25" x14ac:dyDescent="0.2">
      <c r="A88" s="38"/>
      <c r="B88" s="38" t="s">
        <v>301</v>
      </c>
      <c r="C88" s="38" t="s">
        <v>302</v>
      </c>
      <c r="D88" s="39" t="s">
        <v>303</v>
      </c>
      <c r="E88" s="40">
        <v>5</v>
      </c>
      <c r="F88" s="40"/>
      <c r="G88" s="40">
        <f>SmtRes!CX5</f>
        <v>66</v>
      </c>
      <c r="H88" s="42"/>
      <c r="I88" s="41"/>
      <c r="J88" s="42">
        <f>SmtRes!CZ5</f>
        <v>399.03</v>
      </c>
      <c r="K88" s="41"/>
      <c r="L88" s="42">
        <f>SmtRes!DI5</f>
        <v>26335.98</v>
      </c>
    </row>
    <row r="89" spans="1:83" ht="14.25" x14ac:dyDescent="0.2">
      <c r="A89" s="38"/>
      <c r="B89" s="38" t="s">
        <v>304</v>
      </c>
      <c r="C89" s="38" t="s">
        <v>305</v>
      </c>
      <c r="D89" s="39" t="s">
        <v>303</v>
      </c>
      <c r="E89" s="40">
        <v>0.67</v>
      </c>
      <c r="F89" s="40"/>
      <c r="G89" s="40">
        <f>SmtRes!CX6</f>
        <v>8.8439999999999994</v>
      </c>
      <c r="H89" s="42"/>
      <c r="I89" s="41"/>
      <c r="J89" s="42">
        <f>SmtRes!CZ6</f>
        <v>435.64</v>
      </c>
      <c r="K89" s="41"/>
      <c r="L89" s="42">
        <f>SmtRes!DI6</f>
        <v>3852.8</v>
      </c>
    </row>
    <row r="90" spans="1:83" ht="15" x14ac:dyDescent="0.2">
      <c r="A90" s="37"/>
      <c r="B90" s="40">
        <v>2</v>
      </c>
      <c r="C90" s="37" t="s">
        <v>446</v>
      </c>
      <c r="D90" s="39"/>
      <c r="E90" s="44"/>
      <c r="F90" s="40"/>
      <c r="G90" s="44"/>
      <c r="H90" s="40"/>
      <c r="I90" s="40"/>
      <c r="J90" s="40"/>
      <c r="K90" s="40"/>
      <c r="L90" s="45">
        <f>SUM(L91:L93)-SUMIF(CE91:CE93, 1, L91:L93)</f>
        <v>22017.310000000005</v>
      </c>
    </row>
    <row r="91" spans="1:83" ht="15" x14ac:dyDescent="0.2">
      <c r="A91" s="37"/>
      <c r="B91" s="40"/>
      <c r="C91" s="37" t="s">
        <v>448</v>
      </c>
      <c r="D91" s="39" t="s">
        <v>296</v>
      </c>
      <c r="E91" s="44"/>
      <c r="F91" s="40"/>
      <c r="G91" s="44">
        <f>Source!V66</f>
        <v>17.16</v>
      </c>
      <c r="H91" s="40"/>
      <c r="I91" s="40"/>
      <c r="J91" s="40"/>
      <c r="K91" s="40"/>
      <c r="L91" s="45">
        <f>SUMIF(CE92:CE93, 1, L92:L93)</f>
        <v>8417.84</v>
      </c>
      <c r="CE91">
        <v>1</v>
      </c>
    </row>
    <row r="92" spans="1:83" ht="28.5" x14ac:dyDescent="0.2">
      <c r="A92" s="38"/>
      <c r="B92" s="38" t="s">
        <v>308</v>
      </c>
      <c r="C92" s="38" t="s">
        <v>310</v>
      </c>
      <c r="D92" s="39" t="s">
        <v>311</v>
      </c>
      <c r="E92" s="40">
        <v>1.3</v>
      </c>
      <c r="F92" s="40"/>
      <c r="G92" s="40">
        <f>SmtRes!CX8</f>
        <v>17.16</v>
      </c>
      <c r="H92" s="42">
        <f>SmtRes!CZ8</f>
        <v>1043.1400000000001</v>
      </c>
      <c r="I92" s="41">
        <f>SmtRes!AJ8</f>
        <v>1.23</v>
      </c>
      <c r="J92" s="42">
        <f>ROUND(H92*I92, 2)</f>
        <v>1283.06</v>
      </c>
      <c r="K92" s="41"/>
      <c r="L92" s="42">
        <f>SmtRes!DG8</f>
        <v>22017.31</v>
      </c>
    </row>
    <row r="93" spans="1:83" ht="14.25" x14ac:dyDescent="0.2">
      <c r="A93" s="38"/>
      <c r="B93" s="38" t="s">
        <v>312</v>
      </c>
      <c r="C93" s="38" t="s">
        <v>447</v>
      </c>
      <c r="D93" s="39" t="s">
        <v>296</v>
      </c>
      <c r="E93" s="40">
        <f>SmtRes!DO8*SmtRes!AT8</f>
        <v>1.3</v>
      </c>
      <c r="F93" s="40"/>
      <c r="G93" s="40">
        <f>SmtRes!DO8*SmtRes!CX8</f>
        <v>17.16</v>
      </c>
      <c r="H93" s="42"/>
      <c r="I93" s="41"/>
      <c r="J93" s="42">
        <f>ROUND(SmtRes!AG8/SmtRes!DO8, 2)</f>
        <v>490.55</v>
      </c>
      <c r="K93" s="41"/>
      <c r="L93" s="42">
        <f>SmtRes!DH8</f>
        <v>8417.84</v>
      </c>
      <c r="CE93">
        <v>1</v>
      </c>
    </row>
    <row r="94" spans="1:83" ht="15" x14ac:dyDescent="0.2">
      <c r="A94" s="37"/>
      <c r="B94" s="40">
        <v>4</v>
      </c>
      <c r="C94" s="37" t="s">
        <v>449</v>
      </c>
      <c r="D94" s="39"/>
      <c r="E94" s="44"/>
      <c r="F94" s="40"/>
      <c r="G94" s="44"/>
      <c r="H94" s="40"/>
      <c r="I94" s="40"/>
      <c r="J94" s="40"/>
      <c r="K94" s="40"/>
      <c r="L94" s="45">
        <f>SUM(L95:L95)-SUMIF(CE95:CE95, 1, L95:L95)</f>
        <v>6598.68</v>
      </c>
    </row>
    <row r="95" spans="1:83" ht="14.25" x14ac:dyDescent="0.2">
      <c r="A95" s="38"/>
      <c r="B95" s="38" t="s">
        <v>313</v>
      </c>
      <c r="C95" s="46" t="s">
        <v>315</v>
      </c>
      <c r="D95" s="47" t="s">
        <v>107</v>
      </c>
      <c r="E95" s="48">
        <v>10</v>
      </c>
      <c r="F95" s="48"/>
      <c r="G95" s="48">
        <f>SmtRes!CX9</f>
        <v>132</v>
      </c>
      <c r="H95" s="49">
        <f>SmtRes!CZ9</f>
        <v>35.71</v>
      </c>
      <c r="I95" s="50">
        <f>SmtRes!AI9</f>
        <v>1.4</v>
      </c>
      <c r="J95" s="49">
        <f>ROUND(H95*I95, 2)</f>
        <v>49.99</v>
      </c>
      <c r="K95" s="50"/>
      <c r="L95" s="49">
        <f>SmtRes!DF9</f>
        <v>6598.68</v>
      </c>
    </row>
    <row r="96" spans="1:83" ht="15" x14ac:dyDescent="0.2">
      <c r="A96" s="38"/>
      <c r="B96" s="38"/>
      <c r="C96" s="53" t="s">
        <v>433</v>
      </c>
      <c r="D96" s="39"/>
      <c r="E96" s="40"/>
      <c r="F96" s="40"/>
      <c r="G96" s="40"/>
      <c r="H96" s="42"/>
      <c r="I96" s="41"/>
      <c r="J96" s="42"/>
      <c r="K96" s="41"/>
      <c r="L96" s="42">
        <f>L87+L90+L91+L94</f>
        <v>67222.610000000015</v>
      </c>
    </row>
    <row r="97" spans="1:82" ht="28.5" x14ac:dyDescent="0.2">
      <c r="A97" s="36" t="s">
        <v>450</v>
      </c>
      <c r="B97" s="38" t="str">
        <f>Source!F67</f>
        <v>16.2.02.01-0001</v>
      </c>
      <c r="C97" s="38" t="str">
        <f>Source!G67</f>
        <v>Семена газонной травы, травосмесь «Универсальная»</v>
      </c>
      <c r="D97" s="39" t="str">
        <f>Source!H67</f>
        <v>кг</v>
      </c>
      <c r="E97" s="40">
        <f>SmtRes!AT10</f>
        <v>2</v>
      </c>
      <c r="F97" s="40"/>
      <c r="G97" s="40">
        <f>Source!I67</f>
        <v>26.4</v>
      </c>
      <c r="H97" s="42">
        <f>Source!AL67+Source!AO67+Source!AM67+Source!AN67</f>
        <v>271.55</v>
      </c>
      <c r="I97" s="41">
        <f>IF(Source!BC67&lt;&gt; 0, Source!BC67, 1)</f>
        <v>1.1200000000000001</v>
      </c>
      <c r="J97" s="42">
        <f>ROUND(H97*I97, 2)</f>
        <v>304.14</v>
      </c>
      <c r="K97" s="41"/>
      <c r="L97" s="42">
        <f>Source!P67</f>
        <v>8029.3</v>
      </c>
      <c r="AD97">
        <f>ROUND((Source!AT67/100)*((ROUND(ROUND(Source!AO67,2)*Source!I67, 2)+ROUND(ROUND(Source!AN67,2)*Source!I67, 2))), 2)</f>
        <v>0</v>
      </c>
      <c r="AE97">
        <f>ROUND((Source!AU67/100)*((ROUND(ROUND(Source!AO67,2)*Source!I67, 2)+ROUND(ROUND(Source!AN67,2)*Source!I67, 2))), 2)</f>
        <v>0</v>
      </c>
      <c r="AN97">
        <f>L97</f>
        <v>8029.3</v>
      </c>
      <c r="AW97">
        <f>L97</f>
        <v>8029.3</v>
      </c>
      <c r="AZ97">
        <f>Source!X67</f>
        <v>0</v>
      </c>
      <c r="BA97">
        <f>Source!Y67</f>
        <v>0</v>
      </c>
      <c r="CD97">
        <v>1</v>
      </c>
    </row>
    <row r="98" spans="1:82" ht="14.25" x14ac:dyDescent="0.2">
      <c r="A98" s="38"/>
      <c r="B98" s="38"/>
      <c r="C98" s="38" t="s">
        <v>434</v>
      </c>
      <c r="D98" s="39"/>
      <c r="E98" s="40"/>
      <c r="F98" s="40"/>
      <c r="G98" s="40"/>
      <c r="H98" s="42"/>
      <c r="I98" s="41"/>
      <c r="J98" s="42"/>
      <c r="K98" s="41"/>
      <c r="L98" s="42">
        <f>SUM(AR85:AR101)+SUM(AS85:AS101)+SUM(AT85:AT101)+SUM(AU85:AU101)+SUM(AV85:AV101)</f>
        <v>38606.619999999995</v>
      </c>
    </row>
    <row r="99" spans="1:82" ht="14.25" x14ac:dyDescent="0.2">
      <c r="A99" s="38"/>
      <c r="B99" s="38" t="s">
        <v>102</v>
      </c>
      <c r="C99" s="38" t="s">
        <v>443</v>
      </c>
      <c r="D99" s="39" t="s">
        <v>350</v>
      </c>
      <c r="E99" s="40">
        <f>Source!BZ66</f>
        <v>103</v>
      </c>
      <c r="F99" s="40"/>
      <c r="G99" s="40">
        <f>Source!AT66</f>
        <v>103</v>
      </c>
      <c r="H99" s="42"/>
      <c r="I99" s="41"/>
      <c r="J99" s="42"/>
      <c r="K99" s="41"/>
      <c r="L99" s="42">
        <f>SUM(AZ85:AZ101)</f>
        <v>39764.82</v>
      </c>
    </row>
    <row r="100" spans="1:82" ht="14.25" x14ac:dyDescent="0.2">
      <c r="A100" s="46"/>
      <c r="B100" s="46" t="s">
        <v>103</v>
      </c>
      <c r="C100" s="46" t="s">
        <v>444</v>
      </c>
      <c r="D100" s="47" t="s">
        <v>350</v>
      </c>
      <c r="E100" s="48">
        <f>Source!CA66</f>
        <v>72</v>
      </c>
      <c r="F100" s="48"/>
      <c r="G100" s="48">
        <f>Source!AU66</f>
        <v>72</v>
      </c>
      <c r="H100" s="49"/>
      <c r="I100" s="50"/>
      <c r="J100" s="49"/>
      <c r="K100" s="50"/>
      <c r="L100" s="49">
        <f>SUM(BA85:BA101)</f>
        <v>27796.77</v>
      </c>
    </row>
    <row r="101" spans="1:82" ht="15" x14ac:dyDescent="0.2">
      <c r="C101" s="89" t="s">
        <v>437</v>
      </c>
      <c r="D101" s="89"/>
      <c r="E101" s="89"/>
      <c r="F101" s="89"/>
      <c r="G101" s="89"/>
      <c r="H101" s="89"/>
      <c r="I101" s="90">
        <f>K101/E85</f>
        <v>10819.204545454546</v>
      </c>
      <c r="J101" s="90"/>
      <c r="K101" s="90">
        <f>L87+L90+L94+L99+L100+L91+SUM(L97:L97)</f>
        <v>142813.5</v>
      </c>
      <c r="L101" s="90"/>
      <c r="AD101">
        <f>ROUND((Source!AT66/100)*((ROUND(SUMIF(SmtRes!AQ5:'SmtRes'!AQ10,"=1",SmtRes!AD5:'SmtRes'!AD10)*Source!I66, 2)+ROUND(SUMIF(SmtRes!AQ5:'SmtRes'!AQ10,"=1",SmtRes!AC5:'SmtRes'!AC10)*Source!I66, 2))), 2)</f>
        <v>18017.689999999999</v>
      </c>
      <c r="AE101">
        <f>ROUND((Source!AU66/100)*((ROUND(SUMIF(SmtRes!AQ5:'SmtRes'!AQ10,"=1",SmtRes!AD5:'SmtRes'!AD10)*Source!I66, 2)+ROUND(SUMIF(SmtRes!AQ5:'SmtRes'!AQ10,"=1",SmtRes!AC5:'SmtRes'!AC10)*Source!I66, 2))), 2)</f>
        <v>12594.89</v>
      </c>
      <c r="AN101" s="51">
        <f>L87+L90+L94+L99+L100+L91</f>
        <v>134784.20000000001</v>
      </c>
      <c r="AO101" s="51">
        <f>L90</f>
        <v>22017.310000000005</v>
      </c>
      <c r="AQ101" t="s">
        <v>438</v>
      </c>
      <c r="AR101" s="51">
        <f>L87</f>
        <v>30188.78</v>
      </c>
      <c r="AT101" s="51">
        <f>L91</f>
        <v>8417.84</v>
      </c>
      <c r="AV101" t="s">
        <v>438</v>
      </c>
      <c r="AW101" s="51">
        <f>L94</f>
        <v>6598.68</v>
      </c>
      <c r="AZ101">
        <f>Source!X66</f>
        <v>39764.82</v>
      </c>
      <c r="BA101">
        <f>Source!Y66</f>
        <v>27796.77</v>
      </c>
      <c r="CD101">
        <v>1</v>
      </c>
    </row>
    <row r="103" spans="1:82" ht="15" x14ac:dyDescent="0.2">
      <c r="A103" s="57"/>
      <c r="B103" s="58"/>
      <c r="C103" s="87" t="s">
        <v>451</v>
      </c>
      <c r="D103" s="87"/>
      <c r="E103" s="87"/>
      <c r="F103" s="87"/>
      <c r="G103" s="87"/>
      <c r="H103" s="87"/>
      <c r="I103" s="45"/>
      <c r="J103" s="57"/>
      <c r="K103" s="59"/>
      <c r="L103" s="45">
        <f>L105+L106+L112+L116</f>
        <v>1202816.8800000001</v>
      </c>
    </row>
    <row r="104" spans="1:82" ht="14.25" x14ac:dyDescent="0.2">
      <c r="A104" s="54"/>
      <c r="B104" s="56"/>
      <c r="C104" s="86" t="s">
        <v>452</v>
      </c>
      <c r="D104" s="83"/>
      <c r="E104" s="83"/>
      <c r="F104" s="83"/>
      <c r="G104" s="83"/>
      <c r="H104" s="83"/>
      <c r="I104" s="42"/>
      <c r="J104" s="54"/>
      <c r="K104" s="40"/>
      <c r="L104" s="42"/>
    </row>
    <row r="105" spans="1:82" ht="14.25" x14ac:dyDescent="0.2">
      <c r="A105" s="54"/>
      <c r="B105" s="56"/>
      <c r="C105" s="83" t="s">
        <v>453</v>
      </c>
      <c r="D105" s="83"/>
      <c r="E105" s="83"/>
      <c r="F105" s="83"/>
      <c r="G105" s="83"/>
      <c r="H105" s="83"/>
      <c r="I105" s="42"/>
      <c r="J105" s="54"/>
      <c r="K105" s="40"/>
      <c r="L105" s="42">
        <f>SUM(AR54:AR101)</f>
        <v>928455.89000000013</v>
      </c>
    </row>
    <row r="106" spans="1:82" ht="14.25" hidden="1" x14ac:dyDescent="0.2">
      <c r="A106" s="54"/>
      <c r="B106" s="56"/>
      <c r="C106" s="83" t="s">
        <v>454</v>
      </c>
      <c r="D106" s="83"/>
      <c r="E106" s="83"/>
      <c r="F106" s="83"/>
      <c r="G106" s="83"/>
      <c r="H106" s="83"/>
      <c r="I106" s="42"/>
      <c r="J106" s="54"/>
      <c r="K106" s="40"/>
      <c r="L106" s="42">
        <f>L108+L111+L110</f>
        <v>30435.150000000005</v>
      </c>
    </row>
    <row r="107" spans="1:82" ht="14.25" hidden="1" x14ac:dyDescent="0.2">
      <c r="A107" s="54"/>
      <c r="B107" s="56"/>
      <c r="C107" s="86" t="s">
        <v>455</v>
      </c>
      <c r="D107" s="83"/>
      <c r="E107" s="83"/>
      <c r="F107" s="83"/>
      <c r="G107" s="83"/>
      <c r="H107" s="83"/>
      <c r="I107" s="42"/>
      <c r="J107" s="54"/>
      <c r="K107" s="40"/>
      <c r="L107" s="42"/>
    </row>
    <row r="108" spans="1:82" ht="14.25" x14ac:dyDescent="0.2">
      <c r="A108" s="54"/>
      <c r="B108" s="56"/>
      <c r="C108" s="83" t="s">
        <v>454</v>
      </c>
      <c r="D108" s="83"/>
      <c r="E108" s="83"/>
      <c r="F108" s="83"/>
      <c r="G108" s="83"/>
      <c r="H108" s="83"/>
      <c r="I108" s="42"/>
      <c r="J108" s="54"/>
      <c r="K108" s="40"/>
      <c r="L108" s="42">
        <f>SUM(AO54:AO101)</f>
        <v>22017.310000000005</v>
      </c>
    </row>
    <row r="109" spans="1:82" ht="14.25" hidden="1" x14ac:dyDescent="0.2">
      <c r="A109" s="54"/>
      <c r="B109" s="56"/>
      <c r="C109" s="86" t="s">
        <v>456</v>
      </c>
      <c r="D109" s="83"/>
      <c r="E109" s="83"/>
      <c r="F109" s="83"/>
      <c r="G109" s="83"/>
      <c r="H109" s="83"/>
      <c r="I109" s="42"/>
      <c r="J109" s="54"/>
      <c r="K109" s="40"/>
      <c r="L109" s="42"/>
    </row>
    <row r="110" spans="1:82" ht="14.25" x14ac:dyDescent="0.2">
      <c r="A110" s="54"/>
      <c r="B110" s="56"/>
      <c r="C110" s="83" t="s">
        <v>476</v>
      </c>
      <c r="D110" s="83"/>
      <c r="E110" s="83"/>
      <c r="F110" s="83"/>
      <c r="G110" s="83"/>
      <c r="H110" s="83"/>
      <c r="I110" s="42"/>
      <c r="J110" s="54"/>
      <c r="K110" s="40"/>
      <c r="L110" s="42">
        <f>SUM(AT54:AT101)</f>
        <v>8417.84</v>
      </c>
    </row>
    <row r="111" spans="1:82" ht="14.25" hidden="1" x14ac:dyDescent="0.2">
      <c r="A111" s="54"/>
      <c r="B111" s="56"/>
      <c r="C111" s="83" t="s">
        <v>457</v>
      </c>
      <c r="D111" s="83"/>
      <c r="E111" s="83"/>
      <c r="F111" s="83"/>
      <c r="G111" s="83"/>
      <c r="H111" s="83"/>
      <c r="I111" s="42"/>
      <c r="J111" s="54"/>
      <c r="K111" s="40"/>
      <c r="L111" s="42">
        <f>SUM(AV54:AV101)</f>
        <v>0</v>
      </c>
    </row>
    <row r="112" spans="1:82" ht="14.25" x14ac:dyDescent="0.2">
      <c r="A112" s="54"/>
      <c r="B112" s="56"/>
      <c r="C112" s="83" t="s">
        <v>458</v>
      </c>
      <c r="D112" s="83"/>
      <c r="E112" s="83"/>
      <c r="F112" s="83"/>
      <c r="G112" s="83"/>
      <c r="H112" s="83"/>
      <c r="I112" s="42"/>
      <c r="J112" s="54"/>
      <c r="K112" s="40"/>
      <c r="L112" s="42">
        <f>L114+L115</f>
        <v>243925.83999999997</v>
      </c>
    </row>
    <row r="113" spans="1:12" ht="14.25" x14ac:dyDescent="0.2">
      <c r="A113" s="54"/>
      <c r="B113" s="56"/>
      <c r="C113" s="86" t="s">
        <v>455</v>
      </c>
      <c r="D113" s="83"/>
      <c r="E113" s="83"/>
      <c r="F113" s="83"/>
      <c r="G113" s="83"/>
      <c r="H113" s="83"/>
      <c r="I113" s="42"/>
      <c r="J113" s="54"/>
      <c r="K113" s="40"/>
      <c r="L113" s="42"/>
    </row>
    <row r="114" spans="1:12" ht="14.25" x14ac:dyDescent="0.2">
      <c r="A114" s="54"/>
      <c r="B114" s="56"/>
      <c r="C114" s="83" t="s">
        <v>459</v>
      </c>
      <c r="D114" s="83"/>
      <c r="E114" s="83"/>
      <c r="F114" s="83"/>
      <c r="G114" s="83"/>
      <c r="H114" s="83"/>
      <c r="I114" s="42"/>
      <c r="J114" s="54"/>
      <c r="K114" s="40"/>
      <c r="L114" s="42">
        <f>SUM(AW54:AW101)-SUM(BK54:BK101)</f>
        <v>243925.83999999997</v>
      </c>
    </row>
    <row r="115" spans="1:12" ht="14.25" hidden="1" x14ac:dyDescent="0.2">
      <c r="A115" s="54"/>
      <c r="B115" s="56"/>
      <c r="C115" s="83" t="s">
        <v>460</v>
      </c>
      <c r="D115" s="83"/>
      <c r="E115" s="83"/>
      <c r="F115" s="83"/>
      <c r="G115" s="83"/>
      <c r="H115" s="83"/>
      <c r="I115" s="42"/>
      <c r="J115" s="54"/>
      <c r="K115" s="40"/>
      <c r="L115" s="42">
        <f>SUM(BC54:BC101)</f>
        <v>0</v>
      </c>
    </row>
    <row r="116" spans="1:12" ht="14.25" hidden="1" x14ac:dyDescent="0.2">
      <c r="A116" s="54"/>
      <c r="B116" s="56"/>
      <c r="C116" s="83" t="s">
        <v>461</v>
      </c>
      <c r="D116" s="83"/>
      <c r="E116" s="83"/>
      <c r="F116" s="83"/>
      <c r="G116" s="83"/>
      <c r="H116" s="83"/>
      <c r="I116" s="42"/>
      <c r="J116" s="54"/>
      <c r="K116" s="40"/>
      <c r="L116" s="42">
        <f>SUM(BB54:BB101)</f>
        <v>0</v>
      </c>
    </row>
    <row r="117" spans="1:12" ht="14.25" x14ac:dyDescent="0.2">
      <c r="A117" s="54"/>
      <c r="B117" s="56"/>
      <c r="C117" s="83" t="s">
        <v>462</v>
      </c>
      <c r="D117" s="83"/>
      <c r="E117" s="83"/>
      <c r="F117" s="83"/>
      <c r="G117" s="83"/>
      <c r="H117" s="83"/>
      <c r="I117" s="42"/>
      <c r="J117" s="54"/>
      <c r="K117" s="40"/>
      <c r="L117" s="42">
        <f>SUM(AR54:AR101)+SUM(AT54:AT101)+SUM(AV54:AV101)</f>
        <v>936873.7300000001</v>
      </c>
    </row>
    <row r="118" spans="1:12" ht="14.25" x14ac:dyDescent="0.2">
      <c r="A118" s="54"/>
      <c r="B118" s="56"/>
      <c r="C118" s="83" t="s">
        <v>463</v>
      </c>
      <c r="D118" s="83"/>
      <c r="E118" s="83"/>
      <c r="F118" s="83"/>
      <c r="G118" s="83"/>
      <c r="H118" s="83"/>
      <c r="I118" s="42"/>
      <c r="J118" s="54"/>
      <c r="K118" s="40"/>
      <c r="L118" s="42">
        <f>SUM(AZ54:AZ101)</f>
        <v>869259.92999999993</v>
      </c>
    </row>
    <row r="119" spans="1:12" ht="14.25" x14ac:dyDescent="0.2">
      <c r="A119" s="54"/>
      <c r="B119" s="56"/>
      <c r="C119" s="83" t="s">
        <v>464</v>
      </c>
      <c r="D119" s="83"/>
      <c r="E119" s="83"/>
      <c r="F119" s="83"/>
      <c r="G119" s="83"/>
      <c r="H119" s="83"/>
      <c r="I119" s="42"/>
      <c r="J119" s="54"/>
      <c r="K119" s="40"/>
      <c r="L119" s="42">
        <f>SUM(BA54:BA101)</f>
        <v>455760.51</v>
      </c>
    </row>
    <row r="120" spans="1:12" ht="14.25" hidden="1" x14ac:dyDescent="0.2">
      <c r="A120" s="54"/>
      <c r="B120" s="56"/>
      <c r="C120" s="83" t="s">
        <v>465</v>
      </c>
      <c r="D120" s="83"/>
      <c r="E120" s="83"/>
      <c r="F120" s="83"/>
      <c r="G120" s="83"/>
      <c r="H120" s="83"/>
      <c r="I120" s="42"/>
      <c r="J120" s="54"/>
      <c r="K120" s="40"/>
      <c r="L120" s="42">
        <f>L122+L123</f>
        <v>0</v>
      </c>
    </row>
    <row r="121" spans="1:12" ht="14.25" hidden="1" x14ac:dyDescent="0.2">
      <c r="A121" s="54"/>
      <c r="B121" s="56"/>
      <c r="C121" s="86" t="s">
        <v>452</v>
      </c>
      <c r="D121" s="83"/>
      <c r="E121" s="83"/>
      <c r="F121" s="83"/>
      <c r="G121" s="83"/>
      <c r="H121" s="83"/>
      <c r="I121" s="42"/>
      <c r="J121" s="54"/>
      <c r="K121" s="40"/>
      <c r="L121" s="42"/>
    </row>
    <row r="122" spans="1:12" ht="14.25" hidden="1" x14ac:dyDescent="0.2">
      <c r="A122" s="54"/>
      <c r="B122" s="56"/>
      <c r="C122" s="83" t="s">
        <v>466</v>
      </c>
      <c r="D122" s="83"/>
      <c r="E122" s="83"/>
      <c r="F122" s="83"/>
      <c r="G122" s="83"/>
      <c r="H122" s="83"/>
      <c r="I122" s="42"/>
      <c r="J122" s="54"/>
      <c r="K122" s="40"/>
      <c r="L122" s="42">
        <f>SUM(BK54:BK101)</f>
        <v>0</v>
      </c>
    </row>
    <row r="123" spans="1:12" ht="14.25" hidden="1" x14ac:dyDescent="0.2">
      <c r="A123" s="54"/>
      <c r="B123" s="56"/>
      <c r="C123" s="83" t="s">
        <v>467</v>
      </c>
      <c r="D123" s="83"/>
      <c r="E123" s="83"/>
      <c r="F123" s="83"/>
      <c r="G123" s="83"/>
      <c r="H123" s="83"/>
      <c r="I123" s="42"/>
      <c r="J123" s="54"/>
      <c r="K123" s="40"/>
      <c r="L123" s="42">
        <f>SUM(BD54:BD101)</f>
        <v>0</v>
      </c>
    </row>
    <row r="124" spans="1:12" ht="14.25" hidden="1" x14ac:dyDescent="0.2">
      <c r="A124" s="54"/>
      <c r="B124" s="56"/>
      <c r="C124" s="83" t="s">
        <v>468</v>
      </c>
      <c r="D124" s="83"/>
      <c r="E124" s="83"/>
      <c r="F124" s="83"/>
      <c r="G124" s="83"/>
      <c r="H124" s="83"/>
      <c r="I124" s="42"/>
      <c r="J124" s="54"/>
      <c r="K124" s="40"/>
      <c r="L124" s="42"/>
    </row>
    <row r="125" spans="1:12" ht="14.25" hidden="1" x14ac:dyDescent="0.2">
      <c r="A125" s="54"/>
      <c r="B125" s="56"/>
      <c r="C125" s="83" t="s">
        <v>469</v>
      </c>
      <c r="D125" s="83"/>
      <c r="E125" s="83"/>
      <c r="F125" s="83"/>
      <c r="G125" s="83"/>
      <c r="H125" s="83"/>
      <c r="I125" s="42"/>
      <c r="J125" s="54"/>
      <c r="K125" s="40"/>
      <c r="L125" s="42">
        <f>SUM(BO54:BO101)</f>
        <v>0</v>
      </c>
    </row>
    <row r="126" spans="1:12" ht="15" x14ac:dyDescent="0.2">
      <c r="A126" s="57"/>
      <c r="B126" s="58"/>
      <c r="C126" s="87" t="s">
        <v>470</v>
      </c>
      <c r="D126" s="87"/>
      <c r="E126" s="87"/>
      <c r="F126" s="87"/>
      <c r="G126" s="87"/>
      <c r="H126" s="87"/>
      <c r="I126" s="45"/>
      <c r="J126" s="57"/>
      <c r="K126" s="59"/>
      <c r="L126" s="45">
        <f>L103+L118+L119+L120+L124+L125</f>
        <v>2527837.3200000003</v>
      </c>
    </row>
    <row r="127" spans="1:12" ht="14.25" x14ac:dyDescent="0.2">
      <c r="A127" s="54"/>
      <c r="B127" s="56"/>
      <c r="C127" s="86" t="s">
        <v>471</v>
      </c>
      <c r="D127" s="83"/>
      <c r="E127" s="83"/>
      <c r="F127" s="83"/>
      <c r="G127" s="83"/>
      <c r="H127" s="83"/>
      <c r="I127" s="42"/>
      <c r="J127" s="54"/>
      <c r="K127" s="40"/>
      <c r="L127" s="42"/>
    </row>
    <row r="128" spans="1:12" ht="14.25" hidden="1" x14ac:dyDescent="0.2">
      <c r="A128" s="54"/>
      <c r="B128" s="56"/>
      <c r="C128" s="83" t="s">
        <v>472</v>
      </c>
      <c r="D128" s="83"/>
      <c r="E128" s="83"/>
      <c r="F128" s="83"/>
      <c r="G128" s="83"/>
      <c r="H128" s="83"/>
      <c r="I128" s="42"/>
      <c r="J128" s="54"/>
      <c r="K128" s="40"/>
      <c r="L128" s="42">
        <f>SUM(AX54:AX101)</f>
        <v>0</v>
      </c>
    </row>
    <row r="129" spans="1:83" ht="14.25" hidden="1" x14ac:dyDescent="0.2">
      <c r="A129" s="54"/>
      <c r="B129" s="56"/>
      <c r="C129" s="83" t="s">
        <v>473</v>
      </c>
      <c r="D129" s="83"/>
      <c r="E129" s="83"/>
      <c r="F129" s="83"/>
      <c r="G129" s="83"/>
      <c r="H129" s="83"/>
      <c r="I129" s="42"/>
      <c r="J129" s="54"/>
      <c r="K129" s="40"/>
      <c r="L129" s="42">
        <f>SUM(AY54:AY101)</f>
        <v>0</v>
      </c>
    </row>
    <row r="130" spans="1:83" ht="14.25" x14ac:dyDescent="0.2">
      <c r="A130" s="54"/>
      <c r="B130" s="56"/>
      <c r="C130" s="83" t="s">
        <v>474</v>
      </c>
      <c r="D130" s="83"/>
      <c r="E130" s="83"/>
      <c r="F130" s="84"/>
      <c r="G130" s="44">
        <f>Source!F91</f>
        <v>2341.7592</v>
      </c>
      <c r="H130" s="54"/>
      <c r="I130" s="54"/>
      <c r="J130" s="54"/>
      <c r="K130" s="54"/>
      <c r="L130" s="54"/>
    </row>
    <row r="131" spans="1:83" ht="14.25" x14ac:dyDescent="0.2">
      <c r="A131" s="54"/>
      <c r="B131" s="56"/>
      <c r="C131" s="83" t="s">
        <v>475</v>
      </c>
      <c r="D131" s="83"/>
      <c r="E131" s="83"/>
      <c r="F131" s="84"/>
      <c r="G131" s="44">
        <f>Source!F92</f>
        <v>17.16</v>
      </c>
      <c r="H131" s="54"/>
      <c r="I131" s="54"/>
      <c r="J131" s="54"/>
      <c r="K131" s="54"/>
      <c r="L131" s="54"/>
    </row>
    <row r="134" spans="1:83" ht="16.5" x14ac:dyDescent="0.2">
      <c r="A134" s="91" t="s">
        <v>477</v>
      </c>
      <c r="B134" s="91"/>
      <c r="C134" s="91"/>
      <c r="D134" s="91"/>
      <c r="E134" s="91"/>
      <c r="F134" s="91"/>
      <c r="G134" s="91"/>
      <c r="H134" s="91"/>
      <c r="I134" s="91"/>
      <c r="J134" s="91"/>
      <c r="K134" s="91"/>
      <c r="L134" s="91"/>
    </row>
    <row r="135" spans="1:83" ht="28.5" x14ac:dyDescent="0.2">
      <c r="A135" s="36" t="s">
        <v>120</v>
      </c>
      <c r="B135" s="38" t="s">
        <v>478</v>
      </c>
      <c r="C135" s="38" t="str">
        <f>Source!G103</f>
        <v>Кабель до 35 кВ в готовых траншеях без покрытий, масса 1 м: свыше 3 до 6 кг</v>
      </c>
      <c r="D135" s="39" t="str">
        <f>Source!H103</f>
        <v>100 м</v>
      </c>
      <c r="E135" s="40">
        <f>Source!K103</f>
        <v>26.4</v>
      </c>
      <c r="F135" s="40"/>
      <c r="G135" s="40">
        <f>Source!I103</f>
        <v>26.4</v>
      </c>
      <c r="H135" s="42"/>
      <c r="I135" s="41"/>
      <c r="J135" s="42"/>
      <c r="K135" s="41"/>
      <c r="L135" s="42"/>
    </row>
    <row r="136" spans="1:83" ht="25.5" x14ac:dyDescent="0.2">
      <c r="B136" s="43" t="s">
        <v>383</v>
      </c>
      <c r="C136" s="92" t="s">
        <v>479</v>
      </c>
      <c r="D136" s="92"/>
      <c r="E136" s="92"/>
      <c r="F136" s="92"/>
      <c r="G136" s="92"/>
      <c r="H136" s="92"/>
      <c r="I136" s="92"/>
      <c r="J136" s="92"/>
      <c r="K136" s="92"/>
      <c r="L136" s="92"/>
    </row>
    <row r="137" spans="1:83" x14ac:dyDescent="0.2">
      <c r="C137" s="56" t="str">
        <f>"Объем: "&amp;Source!I103&amp;"=2640/"&amp;"100"</f>
        <v>Объем: 26,4=2640/100</v>
      </c>
    </row>
    <row r="138" spans="1:83" ht="15" x14ac:dyDescent="0.2">
      <c r="A138" s="37"/>
      <c r="B138" s="40">
        <v>1</v>
      </c>
      <c r="C138" s="37" t="s">
        <v>432</v>
      </c>
      <c r="D138" s="39" t="s">
        <v>296</v>
      </c>
      <c r="E138" s="44"/>
      <c r="F138" s="40"/>
      <c r="G138" s="44">
        <f>Source!U103</f>
        <v>138.12479999999999</v>
      </c>
      <c r="H138" s="40"/>
      <c r="I138" s="40"/>
      <c r="J138" s="40"/>
      <c r="K138" s="40"/>
      <c r="L138" s="45">
        <f>SUM(L139:L139)-SUMIF(CE139:CE139, 1, L139:L139)</f>
        <v>66239.13</v>
      </c>
    </row>
    <row r="139" spans="1:83" ht="14.25" x14ac:dyDescent="0.2">
      <c r="A139" s="38"/>
      <c r="B139" s="38" t="s">
        <v>316</v>
      </c>
      <c r="C139" s="38" t="s">
        <v>317</v>
      </c>
      <c r="D139" s="39" t="s">
        <v>296</v>
      </c>
      <c r="E139" s="40">
        <v>17.440000000000001</v>
      </c>
      <c r="F139" s="40">
        <f>ROUND(0.3,7)</f>
        <v>0.3</v>
      </c>
      <c r="G139" s="40">
        <f>SmtRes!CX11</f>
        <v>138.12479999999999</v>
      </c>
      <c r="H139" s="42"/>
      <c r="I139" s="41"/>
      <c r="J139" s="42">
        <f>SmtRes!CZ11</f>
        <v>479.56</v>
      </c>
      <c r="K139" s="41"/>
      <c r="L139" s="42">
        <f>SmtRes!DI11</f>
        <v>66239.13</v>
      </c>
    </row>
    <row r="140" spans="1:83" ht="15" x14ac:dyDescent="0.2">
      <c r="A140" s="37"/>
      <c r="B140" s="40">
        <v>2</v>
      </c>
      <c r="C140" s="37" t="s">
        <v>446</v>
      </c>
      <c r="D140" s="39"/>
      <c r="E140" s="44"/>
      <c r="F140" s="40"/>
      <c r="G140" s="44"/>
      <c r="H140" s="40"/>
      <c r="I140" s="40"/>
      <c r="J140" s="40"/>
      <c r="K140" s="40"/>
      <c r="L140" s="45">
        <f>SUM(L141:L147)-SUMIF(CE141:CE147, 1, L141:L147)</f>
        <v>22916.959999999999</v>
      </c>
    </row>
    <row r="141" spans="1:83" ht="15" x14ac:dyDescent="0.2">
      <c r="A141" s="37"/>
      <c r="B141" s="40"/>
      <c r="C141" s="37" t="s">
        <v>448</v>
      </c>
      <c r="D141" s="39" t="s">
        <v>296</v>
      </c>
      <c r="E141" s="44"/>
      <c r="F141" s="40"/>
      <c r="G141" s="44">
        <f>Source!V103</f>
        <v>20.908799999999999</v>
      </c>
      <c r="H141" s="40"/>
      <c r="I141" s="40"/>
      <c r="J141" s="40"/>
      <c r="K141" s="40"/>
      <c r="L141" s="45">
        <f>SUMIF(CE142:CE147, 1, L142:L147)</f>
        <v>12017.23</v>
      </c>
      <c r="CE141">
        <v>1</v>
      </c>
    </row>
    <row r="142" spans="1:83" ht="28.5" x14ac:dyDescent="0.2">
      <c r="A142" s="38"/>
      <c r="B142" s="38" t="s">
        <v>318</v>
      </c>
      <c r="C142" s="38" t="s">
        <v>320</v>
      </c>
      <c r="D142" s="39" t="s">
        <v>311</v>
      </c>
      <c r="E142" s="40">
        <v>1.32</v>
      </c>
      <c r="F142" s="40">
        <f t="shared" ref="F142:F147" si="0">ROUND(0.3,7)</f>
        <v>0.3</v>
      </c>
      <c r="G142" s="40">
        <f>SmtRes!CX13</f>
        <v>10.4544</v>
      </c>
      <c r="H142" s="42"/>
      <c r="I142" s="41"/>
      <c r="J142" s="42">
        <f>SmtRes!CZ13</f>
        <v>1551.19</v>
      </c>
      <c r="K142" s="41"/>
      <c r="L142" s="42">
        <f>SmtRes!DG13</f>
        <v>16216.76</v>
      </c>
    </row>
    <row r="143" spans="1:83" ht="14.25" x14ac:dyDescent="0.2">
      <c r="A143" s="38"/>
      <c r="B143" s="38" t="s">
        <v>321</v>
      </c>
      <c r="C143" s="38" t="s">
        <v>480</v>
      </c>
      <c r="D143" s="39" t="s">
        <v>296</v>
      </c>
      <c r="E143" s="40">
        <f>SmtRes!DO13*SmtRes!AT13</f>
        <v>1.32</v>
      </c>
      <c r="F143" s="40">
        <f t="shared" si="0"/>
        <v>0.3</v>
      </c>
      <c r="G143" s="40">
        <f>SmtRes!DO13*SmtRes!CX13</f>
        <v>10.4544</v>
      </c>
      <c r="H143" s="42"/>
      <c r="I143" s="41"/>
      <c r="J143" s="42">
        <f>ROUND(SmtRes!AG13/SmtRes!DO13, 2)</f>
        <v>658.94</v>
      </c>
      <c r="K143" s="41"/>
      <c r="L143" s="42">
        <f>SmtRes!DH13</f>
        <v>6888.82</v>
      </c>
      <c r="CE143">
        <v>1</v>
      </c>
    </row>
    <row r="144" spans="1:83" ht="28.5" x14ac:dyDescent="0.2">
      <c r="A144" s="38"/>
      <c r="B144" s="38" t="s">
        <v>322</v>
      </c>
      <c r="C144" s="38" t="s">
        <v>324</v>
      </c>
      <c r="D144" s="39" t="s">
        <v>311</v>
      </c>
      <c r="E144" s="40">
        <v>3.97</v>
      </c>
      <c r="F144" s="40">
        <f t="shared" si="0"/>
        <v>0.3</v>
      </c>
      <c r="G144" s="40">
        <f>SmtRes!CX14</f>
        <v>31.442399999999999</v>
      </c>
      <c r="H144" s="42">
        <f>SmtRes!CZ14</f>
        <v>1.75</v>
      </c>
      <c r="I144" s="41">
        <f>SmtRes!AJ14</f>
        <v>1.45</v>
      </c>
      <c r="J144" s="42">
        <f>ROUND(H144*I144, 2)</f>
        <v>2.54</v>
      </c>
      <c r="K144" s="41"/>
      <c r="L144" s="42">
        <f>SmtRes!DG14</f>
        <v>79.86</v>
      </c>
    </row>
    <row r="145" spans="1:83" ht="28.5" x14ac:dyDescent="0.2">
      <c r="A145" s="38"/>
      <c r="B145" s="38" t="s">
        <v>325</v>
      </c>
      <c r="C145" s="38" t="s">
        <v>327</v>
      </c>
      <c r="D145" s="39" t="s">
        <v>311</v>
      </c>
      <c r="E145" s="40">
        <v>3.97</v>
      </c>
      <c r="F145" s="40">
        <f t="shared" si="0"/>
        <v>0.3</v>
      </c>
      <c r="G145" s="40">
        <f>SmtRes!CX15</f>
        <v>31.442399999999999</v>
      </c>
      <c r="H145" s="42">
        <f>SmtRes!CZ15</f>
        <v>13.44</v>
      </c>
      <c r="I145" s="41">
        <f>SmtRes!AJ15</f>
        <v>1.36</v>
      </c>
      <c r="J145" s="42">
        <f>ROUND(H145*I145, 2)</f>
        <v>18.28</v>
      </c>
      <c r="K145" s="41"/>
      <c r="L145" s="42">
        <f>SmtRes!DG15</f>
        <v>574.77</v>
      </c>
    </row>
    <row r="146" spans="1:83" ht="14.25" x14ac:dyDescent="0.2">
      <c r="A146" s="38"/>
      <c r="B146" s="38" t="s">
        <v>328</v>
      </c>
      <c r="C146" s="38" t="s">
        <v>330</v>
      </c>
      <c r="D146" s="39" t="s">
        <v>311</v>
      </c>
      <c r="E146" s="40">
        <v>1.32</v>
      </c>
      <c r="F146" s="40">
        <f t="shared" si="0"/>
        <v>0.3</v>
      </c>
      <c r="G146" s="40">
        <f>SmtRes!CX16</f>
        <v>10.4544</v>
      </c>
      <c r="H146" s="42">
        <f>SmtRes!CZ16</f>
        <v>477.92</v>
      </c>
      <c r="I146" s="41">
        <f>SmtRes!AJ16</f>
        <v>1.21</v>
      </c>
      <c r="J146" s="42">
        <f>ROUND(H146*I146, 2)</f>
        <v>578.28</v>
      </c>
      <c r="K146" s="41"/>
      <c r="L146" s="42">
        <f>SmtRes!DG16</f>
        <v>6045.57</v>
      </c>
    </row>
    <row r="147" spans="1:83" ht="14.25" x14ac:dyDescent="0.2">
      <c r="A147" s="38"/>
      <c r="B147" s="38" t="s">
        <v>312</v>
      </c>
      <c r="C147" s="38" t="s">
        <v>447</v>
      </c>
      <c r="D147" s="39" t="s">
        <v>296</v>
      </c>
      <c r="E147" s="40">
        <f>SmtRes!DO16*SmtRes!AT16</f>
        <v>1.32</v>
      </c>
      <c r="F147" s="40">
        <f t="shared" si="0"/>
        <v>0.3</v>
      </c>
      <c r="G147" s="40">
        <f>SmtRes!DO16*SmtRes!CX16</f>
        <v>10.4544</v>
      </c>
      <c r="H147" s="42"/>
      <c r="I147" s="41"/>
      <c r="J147" s="42">
        <f>ROUND(SmtRes!AG16/SmtRes!DO16, 2)</f>
        <v>490.55</v>
      </c>
      <c r="K147" s="41"/>
      <c r="L147" s="42">
        <f>SmtRes!DH16</f>
        <v>5128.41</v>
      </c>
      <c r="CE147">
        <v>1</v>
      </c>
    </row>
    <row r="148" spans="1:83" ht="15" x14ac:dyDescent="0.2">
      <c r="A148" s="37"/>
      <c r="B148" s="40">
        <v>4</v>
      </c>
      <c r="C148" s="37" t="s">
        <v>449</v>
      </c>
      <c r="D148" s="39"/>
      <c r="E148" s="44"/>
      <c r="F148" s="40"/>
      <c r="G148" s="44"/>
      <c r="H148" s="40"/>
      <c r="I148" s="40"/>
      <c r="J148" s="40"/>
      <c r="K148" s="40"/>
      <c r="L148" s="45">
        <f>SUM(L149:L153)-SUMIF(CE149:CE153, 1, L149:L153)</f>
        <v>0</v>
      </c>
    </row>
    <row r="149" spans="1:83" ht="42.75" x14ac:dyDescent="0.2">
      <c r="A149" s="38"/>
      <c r="B149" s="38" t="s">
        <v>331</v>
      </c>
      <c r="C149" s="38" t="s">
        <v>333</v>
      </c>
      <c r="D149" s="39" t="s">
        <v>334</v>
      </c>
      <c r="E149" s="40">
        <v>9.6000000000000002E-2</v>
      </c>
      <c r="F149" s="40">
        <f>ROUND(0,7)</f>
        <v>0</v>
      </c>
      <c r="G149" s="40">
        <f>SmtRes!CX17</f>
        <v>0</v>
      </c>
      <c r="H149" s="42">
        <f>SmtRes!CZ17</f>
        <v>37.71</v>
      </c>
      <c r="I149" s="41">
        <f>SmtRes!AI17</f>
        <v>1.53</v>
      </c>
      <c r="J149" s="42">
        <f>ROUND(H149*I149, 2)</f>
        <v>57.7</v>
      </c>
      <c r="K149" s="41"/>
      <c r="L149" s="42">
        <f>SmtRes!DF17</f>
        <v>0</v>
      </c>
    </row>
    <row r="150" spans="1:83" ht="28.5" x14ac:dyDescent="0.2">
      <c r="A150" s="38"/>
      <c r="B150" s="38" t="s">
        <v>335</v>
      </c>
      <c r="C150" s="38" t="s">
        <v>337</v>
      </c>
      <c r="D150" s="39" t="s">
        <v>338</v>
      </c>
      <c r="E150" s="40">
        <v>1E-3</v>
      </c>
      <c r="F150" s="40">
        <f>ROUND(0,7)</f>
        <v>0</v>
      </c>
      <c r="G150" s="40">
        <f>SmtRes!CX18</f>
        <v>0</v>
      </c>
      <c r="H150" s="42">
        <f>SmtRes!CZ18</f>
        <v>70310.45</v>
      </c>
      <c r="I150" s="41">
        <f>SmtRes!AI18</f>
        <v>0.88</v>
      </c>
      <c r="J150" s="42">
        <f>ROUND(H150*I150, 2)</f>
        <v>61873.2</v>
      </c>
      <c r="K150" s="41"/>
      <c r="L150" s="42">
        <f>SmtRes!DF18</f>
        <v>0</v>
      </c>
    </row>
    <row r="151" spans="1:83" ht="42.75" x14ac:dyDescent="0.2">
      <c r="A151" s="38"/>
      <c r="B151" s="38" t="s">
        <v>339</v>
      </c>
      <c r="C151" s="38" t="s">
        <v>341</v>
      </c>
      <c r="D151" s="39" t="s">
        <v>338</v>
      </c>
      <c r="E151" s="40">
        <v>0.01</v>
      </c>
      <c r="F151" s="40">
        <f>ROUND(0,7)</f>
        <v>0</v>
      </c>
      <c r="G151" s="40">
        <f>SmtRes!CX19</f>
        <v>0</v>
      </c>
      <c r="H151" s="42"/>
      <c r="I151" s="41"/>
      <c r="J151" s="42">
        <f>SmtRes!CZ19</f>
        <v>55303.81</v>
      </c>
      <c r="K151" s="41"/>
      <c r="L151" s="42">
        <f>SmtRes!DF19</f>
        <v>0</v>
      </c>
    </row>
    <row r="152" spans="1:83" ht="14.25" x14ac:dyDescent="0.2">
      <c r="A152" s="38"/>
      <c r="B152" s="38" t="s">
        <v>342</v>
      </c>
      <c r="C152" s="38" t="s">
        <v>344</v>
      </c>
      <c r="D152" s="39" t="s">
        <v>117</v>
      </c>
      <c r="E152" s="40">
        <v>0.25</v>
      </c>
      <c r="F152" s="40">
        <f>ROUND(0,7)</f>
        <v>0</v>
      </c>
      <c r="G152" s="40">
        <f>SmtRes!CX20</f>
        <v>0</v>
      </c>
      <c r="H152" s="42">
        <f>SmtRes!CZ20</f>
        <v>79.88</v>
      </c>
      <c r="I152" s="41">
        <f>SmtRes!AI20</f>
        <v>1.31</v>
      </c>
      <c r="J152" s="42">
        <f>ROUND(H152*I152, 2)</f>
        <v>104.64</v>
      </c>
      <c r="K152" s="41"/>
      <c r="L152" s="42">
        <f>SmtRes!DF20</f>
        <v>0</v>
      </c>
    </row>
    <row r="153" spans="1:83" ht="14.25" x14ac:dyDescent="0.2">
      <c r="A153" s="38"/>
      <c r="B153" s="38" t="s">
        <v>345</v>
      </c>
      <c r="C153" s="46" t="s">
        <v>347</v>
      </c>
      <c r="D153" s="47" t="s">
        <v>338</v>
      </c>
      <c r="E153" s="48">
        <v>6.0000000000000002E-5</v>
      </c>
      <c r="F153" s="48">
        <f>ROUND(0,7)</f>
        <v>0</v>
      </c>
      <c r="G153" s="48">
        <f>SmtRes!CX21</f>
        <v>0</v>
      </c>
      <c r="H153" s="49">
        <f>SmtRes!CZ21</f>
        <v>82698.14</v>
      </c>
      <c r="I153" s="50">
        <f>SmtRes!AI21</f>
        <v>1.22</v>
      </c>
      <c r="J153" s="49">
        <f>ROUND(H153*I153, 2)</f>
        <v>100891.73</v>
      </c>
      <c r="K153" s="50"/>
      <c r="L153" s="49">
        <f>SmtRes!DF21</f>
        <v>0</v>
      </c>
    </row>
    <row r="154" spans="1:83" ht="15" x14ac:dyDescent="0.2">
      <c r="A154" s="38"/>
      <c r="B154" s="38"/>
      <c r="C154" s="53" t="s">
        <v>433</v>
      </c>
      <c r="D154" s="39"/>
      <c r="E154" s="40"/>
      <c r="F154" s="40"/>
      <c r="G154" s="40"/>
      <c r="H154" s="42"/>
      <c r="I154" s="41"/>
      <c r="J154" s="42"/>
      <c r="K154" s="41"/>
      <c r="L154" s="42">
        <f>L138+L140+L141+L148</f>
        <v>101173.31999999999</v>
      </c>
    </row>
    <row r="155" spans="1:83" ht="14.25" x14ac:dyDescent="0.2">
      <c r="A155" s="38"/>
      <c r="B155" s="38"/>
      <c r="C155" s="38" t="s">
        <v>434</v>
      </c>
      <c r="D155" s="39"/>
      <c r="E155" s="40"/>
      <c r="F155" s="40"/>
      <c r="G155" s="40"/>
      <c r="H155" s="42"/>
      <c r="I155" s="41"/>
      <c r="J155" s="42"/>
      <c r="K155" s="41"/>
      <c r="L155" s="42">
        <f>SUM(AR135:AR158)+SUM(AS135:AS158)+SUM(AT135:AT158)+SUM(AU135:AU158)+SUM(AV135:AV158)</f>
        <v>78256.36</v>
      </c>
    </row>
    <row r="156" spans="1:83" ht="28.5" x14ac:dyDescent="0.2">
      <c r="A156" s="38"/>
      <c r="B156" s="38" t="s">
        <v>132</v>
      </c>
      <c r="C156" s="38" t="s">
        <v>481</v>
      </c>
      <c r="D156" s="39" t="s">
        <v>350</v>
      </c>
      <c r="E156" s="40">
        <f>Source!BZ103</f>
        <v>97</v>
      </c>
      <c r="F156" s="40"/>
      <c r="G156" s="40">
        <f>Source!AT103</f>
        <v>97</v>
      </c>
      <c r="H156" s="42"/>
      <c r="I156" s="41"/>
      <c r="J156" s="42"/>
      <c r="K156" s="41"/>
      <c r="L156" s="42">
        <f>SUM(AZ135:AZ158)</f>
        <v>75908.67</v>
      </c>
    </row>
    <row r="157" spans="1:83" ht="28.5" x14ac:dyDescent="0.2">
      <c r="A157" s="46"/>
      <c r="B157" s="46" t="s">
        <v>133</v>
      </c>
      <c r="C157" s="46" t="s">
        <v>482</v>
      </c>
      <c r="D157" s="47" t="s">
        <v>350</v>
      </c>
      <c r="E157" s="48">
        <f>Source!CA103</f>
        <v>51</v>
      </c>
      <c r="F157" s="48"/>
      <c r="G157" s="48">
        <f>Source!AU103</f>
        <v>51</v>
      </c>
      <c r="H157" s="49"/>
      <c r="I157" s="50"/>
      <c r="J157" s="49"/>
      <c r="K157" s="50"/>
      <c r="L157" s="49">
        <f>SUM(BA135:BA158)</f>
        <v>39910.74</v>
      </c>
    </row>
    <row r="158" spans="1:83" ht="15" x14ac:dyDescent="0.2">
      <c r="C158" s="89" t="s">
        <v>437</v>
      </c>
      <c r="D158" s="89"/>
      <c r="E158" s="89"/>
      <c r="F158" s="89"/>
      <c r="G158" s="89"/>
      <c r="H158" s="89"/>
      <c r="I158" s="90">
        <f>K158/E135</f>
        <v>8219.4215909090926</v>
      </c>
      <c r="J158" s="90"/>
      <c r="K158" s="90">
        <f>L138+L140+L148+L156+L157+L141</f>
        <v>216992.73</v>
      </c>
      <c r="L158" s="90"/>
      <c r="AD158">
        <f>ROUND((Source!AT103/100)*((ROUND(SUMIF(SmtRes!AQ11:'SmtRes'!AQ22,"=1",SmtRes!AD11:'SmtRes'!AD22)*Source!I103, 2)+ROUND(SUMIF(SmtRes!AQ11:'SmtRes'!AQ22,"=1",SmtRes!AC11:'SmtRes'!AC22)*Source!I103, 2))), 2)</f>
        <v>41716.71</v>
      </c>
      <c r="AE158">
        <f>ROUND((Source!AU103/100)*((ROUND(SUMIF(SmtRes!AQ11:'SmtRes'!AQ22,"=1",SmtRes!AD11:'SmtRes'!AD22)*Source!I103, 2)+ROUND(SUMIF(SmtRes!AQ11:'SmtRes'!AQ22,"=1",SmtRes!AC11:'SmtRes'!AC22)*Source!I103, 2))), 2)</f>
        <v>21933.53</v>
      </c>
      <c r="AN158" s="51">
        <f>L138+L140+L148+L156+L157+L141</f>
        <v>216992.73</v>
      </c>
      <c r="AO158" s="51">
        <f>L140</f>
        <v>22916.959999999999</v>
      </c>
      <c r="AQ158" t="s">
        <v>438</v>
      </c>
      <c r="AR158" s="51">
        <f>L138</f>
        <v>66239.13</v>
      </c>
      <c r="AT158" s="51">
        <f>L141</f>
        <v>12017.23</v>
      </c>
      <c r="AV158" t="s">
        <v>438</v>
      </c>
      <c r="AW158" s="51">
        <f>L148</f>
        <v>0</v>
      </c>
      <c r="AZ158">
        <f>Source!X103</f>
        <v>75908.67</v>
      </c>
      <c r="BA158">
        <f>Source!Y103</f>
        <v>39910.74</v>
      </c>
      <c r="CD158">
        <v>2</v>
      </c>
    </row>
    <row r="159" spans="1:83" ht="28.5" x14ac:dyDescent="0.2">
      <c r="A159" s="36" t="s">
        <v>134</v>
      </c>
      <c r="B159" s="38" t="s">
        <v>483</v>
      </c>
      <c r="C159" s="38" t="str">
        <f>Source!G104</f>
        <v>Муфта соединительная  для 3-4-жильного кабеля напряжением: до 10 кВ, сечение жил до 240 мм2</v>
      </c>
      <c r="D159" s="39" t="str">
        <f>Source!H104</f>
        <v>ШТ</v>
      </c>
      <c r="E159" s="40">
        <f>Source!K104</f>
        <v>6</v>
      </c>
      <c r="F159" s="40"/>
      <c r="G159" s="40">
        <f>Source!I104</f>
        <v>6</v>
      </c>
      <c r="H159" s="42"/>
      <c r="I159" s="41"/>
      <c r="J159" s="42"/>
      <c r="K159" s="41"/>
      <c r="L159" s="42"/>
    </row>
    <row r="160" spans="1:83" ht="25.5" x14ac:dyDescent="0.2">
      <c r="B160" s="43" t="s">
        <v>383</v>
      </c>
      <c r="C160" s="92" t="s">
        <v>479</v>
      </c>
      <c r="D160" s="92"/>
      <c r="E160" s="92"/>
      <c r="F160" s="92"/>
      <c r="G160" s="92"/>
      <c r="H160" s="92"/>
      <c r="I160" s="92"/>
      <c r="J160" s="92"/>
      <c r="K160" s="92"/>
      <c r="L160" s="92"/>
    </row>
    <row r="161" spans="1:83" ht="15" x14ac:dyDescent="0.2">
      <c r="A161" s="37"/>
      <c r="B161" s="40">
        <v>1</v>
      </c>
      <c r="C161" s="37" t="s">
        <v>432</v>
      </c>
      <c r="D161" s="39" t="s">
        <v>296</v>
      </c>
      <c r="E161" s="44"/>
      <c r="F161" s="40"/>
      <c r="G161" s="44">
        <f>Source!U104</f>
        <v>20.16</v>
      </c>
      <c r="H161" s="40"/>
      <c r="I161" s="40"/>
      <c r="J161" s="40"/>
      <c r="K161" s="40"/>
      <c r="L161" s="45">
        <f>SUM(L162:L162)-SUMIF(CE162:CE162, 1, L162:L162)</f>
        <v>9667.93</v>
      </c>
    </row>
    <row r="162" spans="1:83" ht="14.25" x14ac:dyDescent="0.2">
      <c r="A162" s="38"/>
      <c r="B162" s="38" t="s">
        <v>316</v>
      </c>
      <c r="C162" s="38" t="s">
        <v>351</v>
      </c>
      <c r="D162" s="39" t="s">
        <v>296</v>
      </c>
      <c r="E162" s="40">
        <v>11.2</v>
      </c>
      <c r="F162" s="40">
        <f>ROUND(0.3,7)</f>
        <v>0.3</v>
      </c>
      <c r="G162" s="40">
        <f>SmtRes!CX23</f>
        <v>20.16</v>
      </c>
      <c r="H162" s="42"/>
      <c r="I162" s="41"/>
      <c r="J162" s="42">
        <f>SmtRes!CZ23</f>
        <v>479.56</v>
      </c>
      <c r="K162" s="41"/>
      <c r="L162" s="42">
        <f>SmtRes!DI23</f>
        <v>9667.93</v>
      </c>
    </row>
    <row r="163" spans="1:83" ht="15" x14ac:dyDescent="0.2">
      <c r="A163" s="37"/>
      <c r="B163" s="40">
        <v>2</v>
      </c>
      <c r="C163" s="37" t="s">
        <v>446</v>
      </c>
      <c r="D163" s="39"/>
      <c r="E163" s="44"/>
      <c r="F163" s="40"/>
      <c r="G163" s="44"/>
      <c r="H163" s="40"/>
      <c r="I163" s="40"/>
      <c r="J163" s="40"/>
      <c r="K163" s="40"/>
      <c r="L163" s="45">
        <f>SUM(L164:L168)-SUMIF(CE164:CE168, 1, L164:L168)</f>
        <v>38.33</v>
      </c>
    </row>
    <row r="164" spans="1:83" ht="15" x14ac:dyDescent="0.2">
      <c r="A164" s="37"/>
      <c r="B164" s="40"/>
      <c r="C164" s="37" t="s">
        <v>448</v>
      </c>
      <c r="D164" s="39" t="s">
        <v>296</v>
      </c>
      <c r="E164" s="44"/>
      <c r="F164" s="40"/>
      <c r="G164" s="44">
        <f>Source!V104</f>
        <v>3.5999999999999997E-2</v>
      </c>
      <c r="H164" s="40"/>
      <c r="I164" s="40"/>
      <c r="J164" s="40"/>
      <c r="K164" s="40"/>
      <c r="L164" s="45">
        <f>SUMIF(CE165:CE168, 1, L165:L168)</f>
        <v>20.689999999999998</v>
      </c>
      <c r="CE164">
        <v>1</v>
      </c>
    </row>
    <row r="165" spans="1:83" ht="28.5" x14ac:dyDescent="0.2">
      <c r="A165" s="38"/>
      <c r="B165" s="38" t="s">
        <v>318</v>
      </c>
      <c r="C165" s="38" t="s">
        <v>320</v>
      </c>
      <c r="D165" s="39" t="s">
        <v>311</v>
      </c>
      <c r="E165" s="40">
        <v>0.01</v>
      </c>
      <c r="F165" s="40">
        <f>ROUND(0.3,7)</f>
        <v>0.3</v>
      </c>
      <c r="G165" s="40">
        <f>SmtRes!CX25</f>
        <v>1.7999999999999999E-2</v>
      </c>
      <c r="H165" s="42"/>
      <c r="I165" s="41"/>
      <c r="J165" s="42">
        <f>SmtRes!CZ25</f>
        <v>1551.19</v>
      </c>
      <c r="K165" s="41"/>
      <c r="L165" s="42">
        <f>SmtRes!DG25</f>
        <v>27.92</v>
      </c>
    </row>
    <row r="166" spans="1:83" ht="14.25" x14ac:dyDescent="0.2">
      <c r="A166" s="38"/>
      <c r="B166" s="38" t="s">
        <v>321</v>
      </c>
      <c r="C166" s="38" t="s">
        <v>480</v>
      </c>
      <c r="D166" s="39" t="s">
        <v>296</v>
      </c>
      <c r="E166" s="40">
        <f>SmtRes!DO25*SmtRes!AT25</f>
        <v>0.01</v>
      </c>
      <c r="F166" s="40">
        <f>ROUND(0.3,7)</f>
        <v>0.3</v>
      </c>
      <c r="G166" s="40">
        <f>SmtRes!DO25*SmtRes!CX25</f>
        <v>1.7999999999999999E-2</v>
      </c>
      <c r="H166" s="42"/>
      <c r="I166" s="41"/>
      <c r="J166" s="42">
        <f>ROUND(SmtRes!AG25/SmtRes!DO25, 2)</f>
        <v>658.94</v>
      </c>
      <c r="K166" s="41"/>
      <c r="L166" s="42">
        <f>SmtRes!DH25</f>
        <v>11.86</v>
      </c>
      <c r="CE166">
        <v>1</v>
      </c>
    </row>
    <row r="167" spans="1:83" ht="14.25" x14ac:dyDescent="0.2">
      <c r="A167" s="38"/>
      <c r="B167" s="38" t="s">
        <v>328</v>
      </c>
      <c r="C167" s="38" t="s">
        <v>330</v>
      </c>
      <c r="D167" s="39" t="s">
        <v>311</v>
      </c>
      <c r="E167" s="40">
        <v>0.01</v>
      </c>
      <c r="F167" s="40">
        <f>ROUND(0.3,7)</f>
        <v>0.3</v>
      </c>
      <c r="G167" s="40">
        <f>SmtRes!CX26</f>
        <v>1.7999999999999999E-2</v>
      </c>
      <c r="H167" s="42">
        <f>SmtRes!CZ26</f>
        <v>477.92</v>
      </c>
      <c r="I167" s="41">
        <f>SmtRes!AJ26</f>
        <v>1.21</v>
      </c>
      <c r="J167" s="42">
        <f>ROUND(H167*I167, 2)</f>
        <v>578.28</v>
      </c>
      <c r="K167" s="41"/>
      <c r="L167" s="42">
        <f>SmtRes!DG26</f>
        <v>10.41</v>
      </c>
    </row>
    <row r="168" spans="1:83" ht="14.25" x14ac:dyDescent="0.2">
      <c r="A168" s="38"/>
      <c r="B168" s="38" t="s">
        <v>312</v>
      </c>
      <c r="C168" s="38" t="s">
        <v>447</v>
      </c>
      <c r="D168" s="39" t="s">
        <v>296</v>
      </c>
      <c r="E168" s="40">
        <f>SmtRes!DO26*SmtRes!AT26</f>
        <v>0.01</v>
      </c>
      <c r="F168" s="40">
        <f>ROUND(0.3,7)</f>
        <v>0.3</v>
      </c>
      <c r="G168" s="40">
        <f>SmtRes!DO26*SmtRes!CX26</f>
        <v>1.7999999999999999E-2</v>
      </c>
      <c r="H168" s="42"/>
      <c r="I168" s="41"/>
      <c r="J168" s="42">
        <f>ROUND(SmtRes!AG26/SmtRes!DO26, 2)</f>
        <v>490.55</v>
      </c>
      <c r="K168" s="41"/>
      <c r="L168" s="42">
        <f>SmtRes!DH26</f>
        <v>8.83</v>
      </c>
      <c r="CE168">
        <v>1</v>
      </c>
    </row>
    <row r="169" spans="1:83" ht="15" x14ac:dyDescent="0.2">
      <c r="A169" s="37"/>
      <c r="B169" s="40">
        <v>4</v>
      </c>
      <c r="C169" s="37" t="s">
        <v>449</v>
      </c>
      <c r="D169" s="39"/>
      <c r="E169" s="44"/>
      <c r="F169" s="40"/>
      <c r="G169" s="44"/>
      <c r="H169" s="40"/>
      <c r="I169" s="40"/>
      <c r="J169" s="40"/>
      <c r="K169" s="40"/>
      <c r="L169" s="45">
        <f>SUM(L170:L173)-SUMIF(CE170:CE173, 1, L170:L173)</f>
        <v>0</v>
      </c>
    </row>
    <row r="170" spans="1:83" ht="14.25" x14ac:dyDescent="0.2">
      <c r="A170" s="38"/>
      <c r="B170" s="38" t="s">
        <v>352</v>
      </c>
      <c r="C170" s="38" t="s">
        <v>354</v>
      </c>
      <c r="D170" s="39" t="s">
        <v>338</v>
      </c>
      <c r="E170" s="40">
        <v>8.0000000000000004E-4</v>
      </c>
      <c r="F170" s="40">
        <f>ROUND(0,7)</f>
        <v>0</v>
      </c>
      <c r="G170" s="40">
        <f>SmtRes!CX27</f>
        <v>0</v>
      </c>
      <c r="H170" s="42">
        <f>SmtRes!CZ27</f>
        <v>116448.72</v>
      </c>
      <c r="I170" s="41">
        <f>SmtRes!AI27</f>
        <v>1.1599999999999999</v>
      </c>
      <c r="J170" s="42">
        <f>ROUND(H170*I170, 2)</f>
        <v>135080.51999999999</v>
      </c>
      <c r="K170" s="41"/>
      <c r="L170" s="42">
        <f>SmtRes!DF27</f>
        <v>0</v>
      </c>
    </row>
    <row r="171" spans="1:83" ht="14.25" x14ac:dyDescent="0.2">
      <c r="A171" s="38"/>
      <c r="B171" s="38" t="s">
        <v>355</v>
      </c>
      <c r="C171" s="38" t="s">
        <v>357</v>
      </c>
      <c r="D171" s="39" t="s">
        <v>338</v>
      </c>
      <c r="E171" s="40">
        <v>2.0000000000000002E-5</v>
      </c>
      <c r="F171" s="40">
        <f>ROUND(0,7)</f>
        <v>0</v>
      </c>
      <c r="G171" s="40">
        <f>SmtRes!CX28</f>
        <v>0</v>
      </c>
      <c r="H171" s="42">
        <f>SmtRes!CZ28</f>
        <v>81827.199999999997</v>
      </c>
      <c r="I171" s="41">
        <f>SmtRes!AI28</f>
        <v>1.77</v>
      </c>
      <c r="J171" s="42">
        <f>ROUND(H171*I171, 2)</f>
        <v>144834.14000000001</v>
      </c>
      <c r="K171" s="41"/>
      <c r="L171" s="42">
        <f>SmtRes!DF28</f>
        <v>0</v>
      </c>
    </row>
    <row r="172" spans="1:83" ht="42.75" x14ac:dyDescent="0.2">
      <c r="A172" s="38"/>
      <c r="B172" s="38" t="s">
        <v>331</v>
      </c>
      <c r="C172" s="38" t="s">
        <v>333</v>
      </c>
      <c r="D172" s="39" t="s">
        <v>334</v>
      </c>
      <c r="E172" s="40">
        <v>2.4E-2</v>
      </c>
      <c r="F172" s="40">
        <f>ROUND(0,7)</f>
        <v>0</v>
      </c>
      <c r="G172" s="40">
        <f>SmtRes!CX29</f>
        <v>0</v>
      </c>
      <c r="H172" s="42">
        <f>SmtRes!CZ29</f>
        <v>37.71</v>
      </c>
      <c r="I172" s="41">
        <f>SmtRes!AI29</f>
        <v>1.53</v>
      </c>
      <c r="J172" s="42">
        <f>ROUND(H172*I172, 2)</f>
        <v>57.7</v>
      </c>
      <c r="K172" s="41"/>
      <c r="L172" s="42">
        <f>SmtRes!DF29</f>
        <v>0</v>
      </c>
    </row>
    <row r="173" spans="1:83" ht="14.25" x14ac:dyDescent="0.2">
      <c r="A173" s="38"/>
      <c r="B173" s="38" t="s">
        <v>358</v>
      </c>
      <c r="C173" s="46" t="s">
        <v>360</v>
      </c>
      <c r="D173" s="47" t="s">
        <v>185</v>
      </c>
      <c r="E173" s="48">
        <v>3.1E-2</v>
      </c>
      <c r="F173" s="48">
        <f>ROUND(0,7)</f>
        <v>0</v>
      </c>
      <c r="G173" s="48">
        <f>SmtRes!CX30</f>
        <v>0</v>
      </c>
      <c r="H173" s="49">
        <f>SmtRes!CZ30</f>
        <v>28612.6</v>
      </c>
      <c r="I173" s="50">
        <f>SmtRes!AI30</f>
        <v>1.26</v>
      </c>
      <c r="J173" s="49">
        <f>ROUND(H173*I173, 2)</f>
        <v>36051.879999999997</v>
      </c>
      <c r="K173" s="50"/>
      <c r="L173" s="49">
        <f>SmtRes!DF30</f>
        <v>0</v>
      </c>
    </row>
    <row r="174" spans="1:83" ht="15" x14ac:dyDescent="0.2">
      <c r="A174" s="38"/>
      <c r="B174" s="38"/>
      <c r="C174" s="53" t="s">
        <v>433</v>
      </c>
      <c r="D174" s="39"/>
      <c r="E174" s="40"/>
      <c r="F174" s="40"/>
      <c r="G174" s="40"/>
      <c r="H174" s="42"/>
      <c r="I174" s="41"/>
      <c r="J174" s="42"/>
      <c r="K174" s="41"/>
      <c r="L174" s="42">
        <f>L161+L163+L164+L169</f>
        <v>9726.9500000000007</v>
      </c>
    </row>
    <row r="175" spans="1:83" ht="14.25" x14ac:dyDescent="0.2">
      <c r="A175" s="38"/>
      <c r="B175" s="38"/>
      <c r="C175" s="38" t="s">
        <v>434</v>
      </c>
      <c r="D175" s="39"/>
      <c r="E175" s="40"/>
      <c r="F175" s="40"/>
      <c r="G175" s="40"/>
      <c r="H175" s="42"/>
      <c r="I175" s="41"/>
      <c r="J175" s="42"/>
      <c r="K175" s="41"/>
      <c r="L175" s="42">
        <f>SUM(AR159:AR178)+SUM(AS159:AS178)+SUM(AT159:AT178)+SUM(AU159:AU178)+SUM(AV159:AV178)</f>
        <v>9688.6200000000008</v>
      </c>
    </row>
    <row r="176" spans="1:83" ht="28.5" x14ac:dyDescent="0.2">
      <c r="A176" s="38"/>
      <c r="B176" s="38" t="s">
        <v>132</v>
      </c>
      <c r="C176" s="38" t="s">
        <v>481</v>
      </c>
      <c r="D176" s="39" t="s">
        <v>350</v>
      </c>
      <c r="E176" s="40">
        <f>Source!BZ104</f>
        <v>97</v>
      </c>
      <c r="F176" s="40"/>
      <c r="G176" s="40">
        <f>Source!AT104</f>
        <v>97</v>
      </c>
      <c r="H176" s="42"/>
      <c r="I176" s="41"/>
      <c r="J176" s="42"/>
      <c r="K176" s="41"/>
      <c r="L176" s="42">
        <f>SUM(AZ159:AZ178)</f>
        <v>9397.9599999999991</v>
      </c>
    </row>
    <row r="177" spans="1:82" ht="28.5" x14ac:dyDescent="0.2">
      <c r="A177" s="46"/>
      <c r="B177" s="46" t="s">
        <v>133</v>
      </c>
      <c r="C177" s="46" t="s">
        <v>482</v>
      </c>
      <c r="D177" s="47" t="s">
        <v>350</v>
      </c>
      <c r="E177" s="48">
        <f>Source!CA104</f>
        <v>51</v>
      </c>
      <c r="F177" s="48"/>
      <c r="G177" s="48">
        <f>Source!AU104</f>
        <v>51</v>
      </c>
      <c r="H177" s="49"/>
      <c r="I177" s="50"/>
      <c r="J177" s="49"/>
      <c r="K177" s="50"/>
      <c r="L177" s="49">
        <f>SUM(BA159:BA178)</f>
        <v>4941.2</v>
      </c>
    </row>
    <row r="178" spans="1:82" ht="15" x14ac:dyDescent="0.2">
      <c r="C178" s="89" t="s">
        <v>437</v>
      </c>
      <c r="D178" s="89"/>
      <c r="E178" s="89"/>
      <c r="F178" s="89"/>
      <c r="G178" s="89"/>
      <c r="H178" s="89"/>
      <c r="I178" s="90">
        <f>K178/E159</f>
        <v>4011.0183333333334</v>
      </c>
      <c r="J178" s="90"/>
      <c r="K178" s="90">
        <f>L161+L163+L169+L176+L177+L164</f>
        <v>24066.11</v>
      </c>
      <c r="L178" s="90"/>
      <c r="AD178">
        <f>ROUND((Source!AT104/100)*((ROUND(SUMIF(SmtRes!AQ23:'SmtRes'!AQ31,"=1",SmtRes!AD23:'SmtRes'!AD31)*Source!I104, 2)+ROUND(SUMIF(SmtRes!AQ23:'SmtRes'!AQ31,"=1",SmtRes!AC23:'SmtRes'!AC31)*Source!I104, 2))), 2)</f>
        <v>9481.07</v>
      </c>
      <c r="AE178">
        <f>ROUND((Source!AU104/100)*((ROUND(SUMIF(SmtRes!AQ23:'SmtRes'!AQ31,"=1",SmtRes!AD23:'SmtRes'!AD31)*Source!I104, 2)+ROUND(SUMIF(SmtRes!AQ23:'SmtRes'!AQ31,"=1",SmtRes!AC23:'SmtRes'!AC31)*Source!I104, 2))), 2)</f>
        <v>4984.8900000000003</v>
      </c>
      <c r="AN178" s="51">
        <f>L161+L163+L169+L176+L177+L164</f>
        <v>24066.11</v>
      </c>
      <c r="AO178" s="51">
        <f>L163</f>
        <v>38.33</v>
      </c>
      <c r="AQ178" t="s">
        <v>438</v>
      </c>
      <c r="AR178" s="51">
        <f>L161</f>
        <v>9667.93</v>
      </c>
      <c r="AT178" s="51">
        <f>L164</f>
        <v>20.689999999999998</v>
      </c>
      <c r="AV178" t="s">
        <v>438</v>
      </c>
      <c r="AW178" s="51">
        <f>L169</f>
        <v>0</v>
      </c>
      <c r="AZ178">
        <f>Source!X104</f>
        <v>9397.9599999999991</v>
      </c>
      <c r="BA178">
        <f>Source!Y104</f>
        <v>4941.2</v>
      </c>
      <c r="CD178">
        <v>2</v>
      </c>
    </row>
    <row r="180" spans="1:82" ht="15" x14ac:dyDescent="0.2">
      <c r="A180" s="57"/>
      <c r="B180" s="58"/>
      <c r="C180" s="87" t="s">
        <v>451</v>
      </c>
      <c r="D180" s="87"/>
      <c r="E180" s="87"/>
      <c r="F180" s="87"/>
      <c r="G180" s="87"/>
      <c r="H180" s="87"/>
      <c r="I180" s="45"/>
      <c r="J180" s="57"/>
      <c r="K180" s="59"/>
      <c r="L180" s="45">
        <f>L182+L183+L189+L193</f>
        <v>110900.26999999999</v>
      </c>
    </row>
    <row r="181" spans="1:82" ht="14.25" x14ac:dyDescent="0.2">
      <c r="A181" s="54"/>
      <c r="B181" s="56"/>
      <c r="C181" s="86" t="s">
        <v>452</v>
      </c>
      <c r="D181" s="83"/>
      <c r="E181" s="83"/>
      <c r="F181" s="83"/>
      <c r="G181" s="83"/>
      <c r="H181" s="83"/>
      <c r="I181" s="42"/>
      <c r="J181" s="54"/>
      <c r="K181" s="40"/>
      <c r="L181" s="42"/>
    </row>
    <row r="182" spans="1:82" ht="14.25" x14ac:dyDescent="0.2">
      <c r="A182" s="54"/>
      <c r="B182" s="56"/>
      <c r="C182" s="83" t="s">
        <v>453</v>
      </c>
      <c r="D182" s="83"/>
      <c r="E182" s="83"/>
      <c r="F182" s="83"/>
      <c r="G182" s="83"/>
      <c r="H182" s="83"/>
      <c r="I182" s="42"/>
      <c r="J182" s="54"/>
      <c r="K182" s="40"/>
      <c r="L182" s="42">
        <f>SUM(AR134:AR178)</f>
        <v>75907.06</v>
      </c>
    </row>
    <row r="183" spans="1:82" ht="14.25" hidden="1" x14ac:dyDescent="0.2">
      <c r="A183" s="54"/>
      <c r="B183" s="56"/>
      <c r="C183" s="83" t="s">
        <v>454</v>
      </c>
      <c r="D183" s="83"/>
      <c r="E183" s="83"/>
      <c r="F183" s="83"/>
      <c r="G183" s="83"/>
      <c r="H183" s="83"/>
      <c r="I183" s="42"/>
      <c r="J183" s="54"/>
      <c r="K183" s="40"/>
      <c r="L183" s="42">
        <f>L185+L188+L187</f>
        <v>34993.21</v>
      </c>
    </row>
    <row r="184" spans="1:82" ht="14.25" hidden="1" x14ac:dyDescent="0.2">
      <c r="A184" s="54"/>
      <c r="B184" s="56"/>
      <c r="C184" s="86" t="s">
        <v>455</v>
      </c>
      <c r="D184" s="83"/>
      <c r="E184" s="83"/>
      <c r="F184" s="83"/>
      <c r="G184" s="83"/>
      <c r="H184" s="83"/>
      <c r="I184" s="42"/>
      <c r="J184" s="54"/>
      <c r="K184" s="40"/>
      <c r="L184" s="42"/>
    </row>
    <row r="185" spans="1:82" ht="14.25" x14ac:dyDescent="0.2">
      <c r="A185" s="54"/>
      <c r="B185" s="56"/>
      <c r="C185" s="83" t="s">
        <v>454</v>
      </c>
      <c r="D185" s="83"/>
      <c r="E185" s="83"/>
      <c r="F185" s="83"/>
      <c r="G185" s="83"/>
      <c r="H185" s="83"/>
      <c r="I185" s="42"/>
      <c r="J185" s="54"/>
      <c r="K185" s="40"/>
      <c r="L185" s="42">
        <f>SUM(AO134:AO178)</f>
        <v>22955.29</v>
      </c>
    </row>
    <row r="186" spans="1:82" ht="14.25" hidden="1" x14ac:dyDescent="0.2">
      <c r="A186" s="54"/>
      <c r="B186" s="56"/>
      <c r="C186" s="86" t="s">
        <v>456</v>
      </c>
      <c r="D186" s="83"/>
      <c r="E186" s="83"/>
      <c r="F186" s="83"/>
      <c r="G186" s="83"/>
      <c r="H186" s="83"/>
      <c r="I186" s="42"/>
      <c r="J186" s="54"/>
      <c r="K186" s="40"/>
      <c r="L186" s="42"/>
    </row>
    <row r="187" spans="1:82" ht="14.25" x14ac:dyDescent="0.2">
      <c r="A187" s="54"/>
      <c r="B187" s="56"/>
      <c r="C187" s="83" t="s">
        <v>476</v>
      </c>
      <c r="D187" s="83"/>
      <c r="E187" s="83"/>
      <c r="F187" s="83"/>
      <c r="G187" s="83"/>
      <c r="H187" s="83"/>
      <c r="I187" s="42"/>
      <c r="J187" s="54"/>
      <c r="K187" s="40"/>
      <c r="L187" s="42">
        <f>SUM(AT134:AT178)</f>
        <v>12037.92</v>
      </c>
    </row>
    <row r="188" spans="1:82" ht="14.25" hidden="1" x14ac:dyDescent="0.2">
      <c r="A188" s="54"/>
      <c r="B188" s="56"/>
      <c r="C188" s="83" t="s">
        <v>457</v>
      </c>
      <c r="D188" s="83"/>
      <c r="E188" s="83"/>
      <c r="F188" s="83"/>
      <c r="G188" s="83"/>
      <c r="H188" s="83"/>
      <c r="I188" s="42"/>
      <c r="J188" s="54"/>
      <c r="K188" s="40"/>
      <c r="L188" s="42">
        <f>SUM(AV134:AV178)</f>
        <v>0</v>
      </c>
    </row>
    <row r="189" spans="1:82" ht="14.25" hidden="1" x14ac:dyDescent="0.2">
      <c r="A189" s="54"/>
      <c r="B189" s="56"/>
      <c r="C189" s="83" t="s">
        <v>458</v>
      </c>
      <c r="D189" s="83"/>
      <c r="E189" s="83"/>
      <c r="F189" s="83"/>
      <c r="G189" s="83"/>
      <c r="H189" s="83"/>
      <c r="I189" s="42"/>
      <c r="J189" s="54"/>
      <c r="K189" s="40"/>
      <c r="L189" s="42">
        <f>L191+L192</f>
        <v>0</v>
      </c>
    </row>
    <row r="190" spans="1:82" ht="14.25" hidden="1" x14ac:dyDescent="0.2">
      <c r="A190" s="54"/>
      <c r="B190" s="56"/>
      <c r="C190" s="86" t="s">
        <v>455</v>
      </c>
      <c r="D190" s="83"/>
      <c r="E190" s="83"/>
      <c r="F190" s="83"/>
      <c r="G190" s="83"/>
      <c r="H190" s="83"/>
      <c r="I190" s="42"/>
      <c r="J190" s="54"/>
      <c r="K190" s="40"/>
      <c r="L190" s="42"/>
    </row>
    <row r="191" spans="1:82" ht="14.25" hidden="1" x14ac:dyDescent="0.2">
      <c r="A191" s="54"/>
      <c r="B191" s="56"/>
      <c r="C191" s="83" t="s">
        <v>459</v>
      </c>
      <c r="D191" s="83"/>
      <c r="E191" s="83"/>
      <c r="F191" s="83"/>
      <c r="G191" s="83"/>
      <c r="H191" s="83"/>
      <c r="I191" s="42"/>
      <c r="J191" s="54"/>
      <c r="K191" s="40"/>
      <c r="L191" s="42">
        <f>SUM(AW134:AW178)-SUM(BK134:BK178)</f>
        <v>0</v>
      </c>
    </row>
    <row r="192" spans="1:82" ht="14.25" hidden="1" x14ac:dyDescent="0.2">
      <c r="A192" s="54"/>
      <c r="B192" s="56"/>
      <c r="C192" s="83" t="s">
        <v>460</v>
      </c>
      <c r="D192" s="83"/>
      <c r="E192" s="83"/>
      <c r="F192" s="83"/>
      <c r="G192" s="83"/>
      <c r="H192" s="83"/>
      <c r="I192" s="42"/>
      <c r="J192" s="54"/>
      <c r="K192" s="40"/>
      <c r="L192" s="42">
        <f>SUM(BC134:BC178)</f>
        <v>0</v>
      </c>
    </row>
    <row r="193" spans="1:12" ht="14.25" hidden="1" x14ac:dyDescent="0.2">
      <c r="A193" s="54"/>
      <c r="B193" s="56"/>
      <c r="C193" s="83" t="s">
        <v>461</v>
      </c>
      <c r="D193" s="83"/>
      <c r="E193" s="83"/>
      <c r="F193" s="83"/>
      <c r="G193" s="83"/>
      <c r="H193" s="83"/>
      <c r="I193" s="42"/>
      <c r="J193" s="54"/>
      <c r="K193" s="40"/>
      <c r="L193" s="42">
        <f>SUM(BB134:BB178)</f>
        <v>0</v>
      </c>
    </row>
    <row r="194" spans="1:12" ht="14.25" x14ac:dyDescent="0.2">
      <c r="A194" s="54"/>
      <c r="B194" s="56"/>
      <c r="C194" s="83" t="s">
        <v>462</v>
      </c>
      <c r="D194" s="83"/>
      <c r="E194" s="83"/>
      <c r="F194" s="83"/>
      <c r="G194" s="83"/>
      <c r="H194" s="83"/>
      <c r="I194" s="42"/>
      <c r="J194" s="54"/>
      <c r="K194" s="40"/>
      <c r="L194" s="42">
        <f>SUM(AR134:AR178)+SUM(AT134:AT178)+SUM(AV134:AV178)</f>
        <v>87944.98</v>
      </c>
    </row>
    <row r="195" spans="1:12" ht="14.25" x14ac:dyDescent="0.2">
      <c r="A195" s="54"/>
      <c r="B195" s="56"/>
      <c r="C195" s="83" t="s">
        <v>463</v>
      </c>
      <c r="D195" s="83"/>
      <c r="E195" s="83"/>
      <c r="F195" s="83"/>
      <c r="G195" s="83"/>
      <c r="H195" s="83"/>
      <c r="I195" s="42"/>
      <c r="J195" s="54"/>
      <c r="K195" s="40"/>
      <c r="L195" s="42">
        <f>SUM(AZ134:AZ178)</f>
        <v>85306.63</v>
      </c>
    </row>
    <row r="196" spans="1:12" ht="14.25" x14ac:dyDescent="0.2">
      <c r="A196" s="54"/>
      <c r="B196" s="56"/>
      <c r="C196" s="83" t="s">
        <v>464</v>
      </c>
      <c r="D196" s="83"/>
      <c r="E196" s="83"/>
      <c r="F196" s="83"/>
      <c r="G196" s="83"/>
      <c r="H196" s="83"/>
      <c r="I196" s="42"/>
      <c r="J196" s="54"/>
      <c r="K196" s="40"/>
      <c r="L196" s="42">
        <f>SUM(BA134:BA178)</f>
        <v>44851.939999999995</v>
      </c>
    </row>
    <row r="197" spans="1:12" ht="14.25" hidden="1" x14ac:dyDescent="0.2">
      <c r="A197" s="54"/>
      <c r="B197" s="56"/>
      <c r="C197" s="83" t="s">
        <v>465</v>
      </c>
      <c r="D197" s="83"/>
      <c r="E197" s="83"/>
      <c r="F197" s="83"/>
      <c r="G197" s="83"/>
      <c r="H197" s="83"/>
      <c r="I197" s="42"/>
      <c r="J197" s="54"/>
      <c r="K197" s="40"/>
      <c r="L197" s="42">
        <f>L199+L200</f>
        <v>0</v>
      </c>
    </row>
    <row r="198" spans="1:12" ht="14.25" hidden="1" x14ac:dyDescent="0.2">
      <c r="A198" s="54"/>
      <c r="B198" s="56"/>
      <c r="C198" s="86" t="s">
        <v>452</v>
      </c>
      <c r="D198" s="83"/>
      <c r="E198" s="83"/>
      <c r="F198" s="83"/>
      <c r="G198" s="83"/>
      <c r="H198" s="83"/>
      <c r="I198" s="42"/>
      <c r="J198" s="54"/>
      <c r="K198" s="40"/>
      <c r="L198" s="42"/>
    </row>
    <row r="199" spans="1:12" ht="14.25" hidden="1" x14ac:dyDescent="0.2">
      <c r="A199" s="54"/>
      <c r="B199" s="56"/>
      <c r="C199" s="83" t="s">
        <v>466</v>
      </c>
      <c r="D199" s="83"/>
      <c r="E199" s="83"/>
      <c r="F199" s="83"/>
      <c r="G199" s="83"/>
      <c r="H199" s="83"/>
      <c r="I199" s="42"/>
      <c r="J199" s="54"/>
      <c r="K199" s="40"/>
      <c r="L199" s="42">
        <f>SUM(BK134:BK178)</f>
        <v>0</v>
      </c>
    </row>
    <row r="200" spans="1:12" ht="14.25" hidden="1" x14ac:dyDescent="0.2">
      <c r="A200" s="54"/>
      <c r="B200" s="56"/>
      <c r="C200" s="83" t="s">
        <v>467</v>
      </c>
      <c r="D200" s="83"/>
      <c r="E200" s="83"/>
      <c r="F200" s="83"/>
      <c r="G200" s="83"/>
      <c r="H200" s="83"/>
      <c r="I200" s="42"/>
      <c r="J200" s="54"/>
      <c r="K200" s="40"/>
      <c r="L200" s="42">
        <f>SUM(BD134:BD178)</f>
        <v>0</v>
      </c>
    </row>
    <row r="201" spans="1:12" ht="14.25" hidden="1" x14ac:dyDescent="0.2">
      <c r="A201" s="54"/>
      <c r="B201" s="56"/>
      <c r="C201" s="83" t="s">
        <v>468</v>
      </c>
      <c r="D201" s="83"/>
      <c r="E201" s="83"/>
      <c r="F201" s="83"/>
      <c r="G201" s="83"/>
      <c r="H201" s="83"/>
      <c r="I201" s="42"/>
      <c r="J201" s="54"/>
      <c r="K201" s="40"/>
      <c r="L201" s="42"/>
    </row>
    <row r="202" spans="1:12" ht="14.25" hidden="1" x14ac:dyDescent="0.2">
      <c r="A202" s="54"/>
      <c r="B202" s="56"/>
      <c r="C202" s="83" t="s">
        <v>469</v>
      </c>
      <c r="D202" s="83"/>
      <c r="E202" s="83"/>
      <c r="F202" s="83"/>
      <c r="G202" s="83"/>
      <c r="H202" s="83"/>
      <c r="I202" s="42"/>
      <c r="J202" s="54"/>
      <c r="K202" s="40"/>
      <c r="L202" s="42">
        <f>SUM(BO134:BO178)</f>
        <v>0</v>
      </c>
    </row>
    <row r="203" spans="1:12" ht="15" x14ac:dyDescent="0.2">
      <c r="A203" s="57"/>
      <c r="B203" s="58"/>
      <c r="C203" s="87" t="s">
        <v>470</v>
      </c>
      <c r="D203" s="87"/>
      <c r="E203" s="87"/>
      <c r="F203" s="87"/>
      <c r="G203" s="87"/>
      <c r="H203" s="87"/>
      <c r="I203" s="45"/>
      <c r="J203" s="57"/>
      <c r="K203" s="59"/>
      <c r="L203" s="45">
        <f>L180+L195+L196+L197+L201+L202</f>
        <v>241058.84</v>
      </c>
    </row>
    <row r="204" spans="1:12" ht="14.25" x14ac:dyDescent="0.2">
      <c r="A204" s="54"/>
      <c r="B204" s="56"/>
      <c r="C204" s="86" t="s">
        <v>471</v>
      </c>
      <c r="D204" s="83"/>
      <c r="E204" s="83"/>
      <c r="F204" s="83"/>
      <c r="G204" s="83"/>
      <c r="H204" s="83"/>
      <c r="I204" s="42"/>
      <c r="J204" s="54"/>
      <c r="K204" s="40"/>
      <c r="L204" s="42"/>
    </row>
    <row r="205" spans="1:12" ht="14.25" hidden="1" x14ac:dyDescent="0.2">
      <c r="A205" s="54"/>
      <c r="B205" s="56"/>
      <c r="C205" s="83" t="s">
        <v>472</v>
      </c>
      <c r="D205" s="83"/>
      <c r="E205" s="83"/>
      <c r="F205" s="83"/>
      <c r="G205" s="83"/>
      <c r="H205" s="83"/>
      <c r="I205" s="42"/>
      <c r="J205" s="54"/>
      <c r="K205" s="40"/>
      <c r="L205" s="42">
        <f>SUM(AX134:AX178)</f>
        <v>0</v>
      </c>
    </row>
    <row r="206" spans="1:12" ht="14.25" hidden="1" x14ac:dyDescent="0.2">
      <c r="A206" s="54"/>
      <c r="B206" s="56"/>
      <c r="C206" s="83" t="s">
        <v>473</v>
      </c>
      <c r="D206" s="83"/>
      <c r="E206" s="83"/>
      <c r="F206" s="83"/>
      <c r="G206" s="83"/>
      <c r="H206" s="83"/>
      <c r="I206" s="42"/>
      <c r="J206" s="54"/>
      <c r="K206" s="40"/>
      <c r="L206" s="42">
        <f>SUM(AY134:AY178)</f>
        <v>0</v>
      </c>
    </row>
    <row r="207" spans="1:12" ht="14.25" x14ac:dyDescent="0.2">
      <c r="A207" s="54"/>
      <c r="B207" s="56"/>
      <c r="C207" s="83" t="s">
        <v>474</v>
      </c>
      <c r="D207" s="83"/>
      <c r="E207" s="83"/>
      <c r="F207" s="84"/>
      <c r="G207" s="44">
        <f>Source!F128</f>
        <v>158.28479999999999</v>
      </c>
      <c r="H207" s="54"/>
      <c r="I207" s="54"/>
      <c r="J207" s="54"/>
      <c r="K207" s="54"/>
      <c r="L207" s="54"/>
    </row>
    <row r="208" spans="1:12" ht="14.25" x14ac:dyDescent="0.2">
      <c r="A208" s="54"/>
      <c r="B208" s="56"/>
      <c r="C208" s="83" t="s">
        <v>475</v>
      </c>
      <c r="D208" s="83"/>
      <c r="E208" s="83"/>
      <c r="F208" s="84"/>
      <c r="G208" s="44">
        <f>Source!F129</f>
        <v>20.944800000000001</v>
      </c>
      <c r="H208" s="54"/>
      <c r="I208" s="54"/>
      <c r="J208" s="54"/>
      <c r="K208" s="54"/>
      <c r="L208" s="54"/>
    </row>
    <row r="211" spans="1:83" ht="16.5" x14ac:dyDescent="0.2">
      <c r="A211" s="91" t="s">
        <v>484</v>
      </c>
      <c r="B211" s="91"/>
      <c r="C211" s="91"/>
      <c r="D211" s="91"/>
      <c r="E211" s="91"/>
      <c r="F211" s="91"/>
      <c r="G211" s="91"/>
      <c r="H211" s="91"/>
      <c r="I211" s="91"/>
      <c r="J211" s="91"/>
      <c r="K211" s="91"/>
      <c r="L211" s="91"/>
    </row>
    <row r="212" spans="1:83" ht="28.5" x14ac:dyDescent="0.2">
      <c r="A212" s="36" t="s">
        <v>139</v>
      </c>
      <c r="B212" s="38" t="s">
        <v>485</v>
      </c>
      <c r="C212" s="38" t="str">
        <f>Source!G140</f>
        <v>Устройство постели при одном кабеле в траншее</v>
      </c>
      <c r="D212" s="39" t="str">
        <f>Source!H140</f>
        <v>100 м</v>
      </c>
      <c r="E212" s="40">
        <f>Source!K140</f>
        <v>13.2</v>
      </c>
      <c r="F212" s="40"/>
      <c r="G212" s="40">
        <f>Source!I140</f>
        <v>13.2</v>
      </c>
      <c r="H212" s="42"/>
      <c r="I212" s="41"/>
      <c r="J212" s="42"/>
      <c r="K212" s="41"/>
      <c r="L212" s="42"/>
    </row>
    <row r="213" spans="1:83" x14ac:dyDescent="0.2">
      <c r="C213" s="56" t="str">
        <f>"Объем: "&amp;Source!I140&amp;"=1320/"&amp;"100"</f>
        <v>Объем: 13,2=1320/100</v>
      </c>
    </row>
    <row r="214" spans="1:83" ht="15" x14ac:dyDescent="0.2">
      <c r="A214" s="37"/>
      <c r="B214" s="40">
        <v>1</v>
      </c>
      <c r="C214" s="37" t="s">
        <v>432</v>
      </c>
      <c r="D214" s="39" t="s">
        <v>296</v>
      </c>
      <c r="E214" s="44"/>
      <c r="F214" s="40"/>
      <c r="G214" s="44">
        <f>Source!U140</f>
        <v>69.959999999999994</v>
      </c>
      <c r="H214" s="40"/>
      <c r="I214" s="40"/>
      <c r="J214" s="40"/>
      <c r="K214" s="40"/>
      <c r="L214" s="45">
        <f>SUM(L215:L215)-SUMIF(CE215:CE215, 1, L215:L215)</f>
        <v>33550.019999999997</v>
      </c>
    </row>
    <row r="215" spans="1:83" ht="14.25" x14ac:dyDescent="0.2">
      <c r="A215" s="38"/>
      <c r="B215" s="38" t="s">
        <v>316</v>
      </c>
      <c r="C215" s="38" t="s">
        <v>317</v>
      </c>
      <c r="D215" s="39" t="s">
        <v>296</v>
      </c>
      <c r="E215" s="40">
        <v>5.3</v>
      </c>
      <c r="F215" s="40"/>
      <c r="G215" s="40">
        <f>SmtRes!CX32</f>
        <v>69.959999999999994</v>
      </c>
      <c r="H215" s="42"/>
      <c r="I215" s="41"/>
      <c r="J215" s="42">
        <f>SmtRes!CZ32</f>
        <v>479.56</v>
      </c>
      <c r="K215" s="41"/>
      <c r="L215" s="42">
        <f>SmtRes!DI32</f>
        <v>33550.019999999997</v>
      </c>
    </row>
    <row r="216" spans="1:83" ht="15" x14ac:dyDescent="0.2">
      <c r="A216" s="37"/>
      <c r="B216" s="40">
        <v>2</v>
      </c>
      <c r="C216" s="37" t="s">
        <v>446</v>
      </c>
      <c r="D216" s="39"/>
      <c r="E216" s="44"/>
      <c r="F216" s="40"/>
      <c r="G216" s="44"/>
      <c r="H216" s="40"/>
      <c r="I216" s="40"/>
      <c r="J216" s="40"/>
      <c r="K216" s="40"/>
      <c r="L216" s="45">
        <f>SUM(L217:L219)-SUMIF(CE217:CE219, 1, L217:L219)</f>
        <v>29769.85</v>
      </c>
    </row>
    <row r="217" spans="1:83" ht="15" x14ac:dyDescent="0.2">
      <c r="A217" s="37"/>
      <c r="B217" s="40"/>
      <c r="C217" s="37" t="s">
        <v>448</v>
      </c>
      <c r="D217" s="39" t="s">
        <v>296</v>
      </c>
      <c r="E217" s="44"/>
      <c r="F217" s="40"/>
      <c r="G217" s="44">
        <f>Source!V140</f>
        <v>51.48</v>
      </c>
      <c r="H217" s="40"/>
      <c r="I217" s="40"/>
      <c r="J217" s="40"/>
      <c r="K217" s="40"/>
      <c r="L217" s="45">
        <f>SUMIF(CE218:CE219, 1, L218:L219)</f>
        <v>25253.51</v>
      </c>
      <c r="CE217">
        <v>1</v>
      </c>
    </row>
    <row r="218" spans="1:83" ht="14.25" x14ac:dyDescent="0.2">
      <c r="A218" s="38"/>
      <c r="B218" s="38" t="s">
        <v>328</v>
      </c>
      <c r="C218" s="38" t="s">
        <v>330</v>
      </c>
      <c r="D218" s="39" t="s">
        <v>311</v>
      </c>
      <c r="E218" s="40">
        <v>3.9</v>
      </c>
      <c r="F218" s="40"/>
      <c r="G218" s="40">
        <f>SmtRes!CX34</f>
        <v>51.48</v>
      </c>
      <c r="H218" s="42">
        <f>SmtRes!CZ34</f>
        <v>477.92</v>
      </c>
      <c r="I218" s="41">
        <f>SmtRes!AJ34</f>
        <v>1.21</v>
      </c>
      <c r="J218" s="42">
        <f>ROUND(H218*I218, 2)</f>
        <v>578.28</v>
      </c>
      <c r="K218" s="41"/>
      <c r="L218" s="42">
        <f>SmtRes!DG34</f>
        <v>29769.85</v>
      </c>
    </row>
    <row r="219" spans="1:83" ht="14.25" x14ac:dyDescent="0.2">
      <c r="A219" s="38"/>
      <c r="B219" s="38" t="s">
        <v>312</v>
      </c>
      <c r="C219" s="46" t="s">
        <v>447</v>
      </c>
      <c r="D219" s="47" t="s">
        <v>296</v>
      </c>
      <c r="E219" s="48">
        <f>SmtRes!DO34*SmtRes!AT34</f>
        <v>3.9</v>
      </c>
      <c r="F219" s="48"/>
      <c r="G219" s="48">
        <f>SmtRes!DO34*SmtRes!CX34</f>
        <v>51.48</v>
      </c>
      <c r="H219" s="49"/>
      <c r="I219" s="50"/>
      <c r="J219" s="49">
        <f>ROUND(SmtRes!AG34/SmtRes!DO34, 2)</f>
        <v>490.55</v>
      </c>
      <c r="K219" s="50"/>
      <c r="L219" s="49">
        <f>SmtRes!DH34</f>
        <v>25253.51</v>
      </c>
      <c r="CE219">
        <v>1</v>
      </c>
    </row>
    <row r="220" spans="1:83" ht="15" x14ac:dyDescent="0.2">
      <c r="A220" s="38"/>
      <c r="B220" s="38"/>
      <c r="C220" s="53" t="s">
        <v>433</v>
      </c>
      <c r="D220" s="39"/>
      <c r="E220" s="40"/>
      <c r="F220" s="40"/>
      <c r="G220" s="40"/>
      <c r="H220" s="42"/>
      <c r="I220" s="41"/>
      <c r="J220" s="42"/>
      <c r="K220" s="41"/>
      <c r="L220" s="42">
        <f>L214+L216+L217</f>
        <v>88573.37999999999</v>
      </c>
    </row>
    <row r="221" spans="1:83" ht="14.25" x14ac:dyDescent="0.2">
      <c r="A221" s="38"/>
      <c r="B221" s="38"/>
      <c r="C221" s="38" t="s">
        <v>434</v>
      </c>
      <c r="D221" s="39"/>
      <c r="E221" s="40"/>
      <c r="F221" s="40"/>
      <c r="G221" s="40"/>
      <c r="H221" s="42"/>
      <c r="I221" s="41"/>
      <c r="J221" s="42"/>
      <c r="K221" s="41"/>
      <c r="L221" s="42">
        <f>SUM(AR212:AR224)+SUM(AS212:AS224)+SUM(AT212:AT224)+SUM(AU212:AU224)+SUM(AV212:AV224)</f>
        <v>58803.53</v>
      </c>
    </row>
    <row r="222" spans="1:83" ht="28.5" x14ac:dyDescent="0.2">
      <c r="A222" s="38"/>
      <c r="B222" s="38" t="s">
        <v>132</v>
      </c>
      <c r="C222" s="38" t="s">
        <v>481</v>
      </c>
      <c r="D222" s="39" t="s">
        <v>350</v>
      </c>
      <c r="E222" s="40">
        <f>Source!BZ140</f>
        <v>97</v>
      </c>
      <c r="F222" s="40"/>
      <c r="G222" s="40">
        <f>Source!AT140</f>
        <v>97</v>
      </c>
      <c r="H222" s="42"/>
      <c r="I222" s="41"/>
      <c r="J222" s="42"/>
      <c r="K222" s="41"/>
      <c r="L222" s="42">
        <f>SUM(AZ212:AZ224)</f>
        <v>57039.42</v>
      </c>
    </row>
    <row r="223" spans="1:83" ht="28.5" x14ac:dyDescent="0.2">
      <c r="A223" s="46"/>
      <c r="B223" s="46" t="s">
        <v>133</v>
      </c>
      <c r="C223" s="46" t="s">
        <v>482</v>
      </c>
      <c r="D223" s="47" t="s">
        <v>350</v>
      </c>
      <c r="E223" s="48">
        <f>Source!CA140</f>
        <v>51</v>
      </c>
      <c r="F223" s="48"/>
      <c r="G223" s="48">
        <f>Source!AU140</f>
        <v>51</v>
      </c>
      <c r="H223" s="49"/>
      <c r="I223" s="50"/>
      <c r="J223" s="49"/>
      <c r="K223" s="50"/>
      <c r="L223" s="49">
        <f>SUM(BA212:BA224)</f>
        <v>29989.8</v>
      </c>
    </row>
    <row r="224" spans="1:83" ht="15" x14ac:dyDescent="0.2">
      <c r="C224" s="89" t="s">
        <v>437</v>
      </c>
      <c r="D224" s="89"/>
      <c r="E224" s="89"/>
      <c r="F224" s="89"/>
      <c r="G224" s="89"/>
      <c r="H224" s="89"/>
      <c r="I224" s="90">
        <f>K224/E212</f>
        <v>13303.227272727274</v>
      </c>
      <c r="J224" s="90"/>
      <c r="K224" s="90">
        <f>L214+L216+L222+L223+L217</f>
        <v>175602.6</v>
      </c>
      <c r="L224" s="90"/>
      <c r="AD224">
        <f>ROUND((Source!AT140/100)*((ROUND(SUMIF(SmtRes!AQ32:'SmtRes'!AQ34,"=1",SmtRes!AD32:'SmtRes'!AD34)*Source!I140, 2)+ROUND(SUMIF(SmtRes!AQ32:'SmtRes'!AQ34,"=1",SmtRes!AC32:'SmtRes'!AC34)*Source!I140, 2))), 2)</f>
        <v>12421.29</v>
      </c>
      <c r="AE224">
        <f>ROUND((Source!AU140/100)*((ROUND(SUMIF(SmtRes!AQ32:'SmtRes'!AQ34,"=1",SmtRes!AD32:'SmtRes'!AD34)*Source!I140, 2)+ROUND(SUMIF(SmtRes!AQ32:'SmtRes'!AQ34,"=1",SmtRes!AC32:'SmtRes'!AC34)*Source!I140, 2))), 2)</f>
        <v>6530.78</v>
      </c>
      <c r="AN224" s="51">
        <f>L214+L216+L222+L223+L217</f>
        <v>175602.6</v>
      </c>
      <c r="AO224" s="51">
        <f>L216</f>
        <v>29769.85</v>
      </c>
      <c r="AQ224" t="s">
        <v>438</v>
      </c>
      <c r="AR224" s="51">
        <f>L214</f>
        <v>33550.019999999997</v>
      </c>
      <c r="AT224" s="51">
        <f>L217</f>
        <v>25253.51</v>
      </c>
      <c r="AV224" t="s">
        <v>438</v>
      </c>
      <c r="AW224">
        <f>0</f>
        <v>0</v>
      </c>
      <c r="AZ224">
        <f>Source!X140</f>
        <v>57039.42</v>
      </c>
      <c r="BA224">
        <f>Source!Y140</f>
        <v>29989.8</v>
      </c>
      <c r="CD224">
        <v>2</v>
      </c>
    </row>
    <row r="225" spans="1:83" ht="28.5" x14ac:dyDescent="0.2">
      <c r="A225" s="36" t="s">
        <v>143</v>
      </c>
      <c r="B225" s="38" t="s">
        <v>486</v>
      </c>
      <c r="C225" s="38" t="str">
        <f>Source!G141</f>
        <v>На каждый последующий кабель добавлять к норме 08-02-142-01</v>
      </c>
      <c r="D225" s="39" t="str">
        <f>Source!H141</f>
        <v>100 м</v>
      </c>
      <c r="E225" s="40">
        <f>Source!K141</f>
        <v>13.2</v>
      </c>
      <c r="F225" s="40"/>
      <c r="G225" s="40">
        <f>Source!I141</f>
        <v>13.2</v>
      </c>
      <c r="H225" s="42"/>
      <c r="I225" s="41"/>
      <c r="J225" s="42"/>
      <c r="K225" s="41"/>
      <c r="L225" s="42"/>
    </row>
    <row r="226" spans="1:83" x14ac:dyDescent="0.2">
      <c r="C226" s="56" t="str">
        <f>"Объем: "&amp;Source!I141&amp;"=1320/"&amp;"100"</f>
        <v>Объем: 13,2=1320/100</v>
      </c>
    </row>
    <row r="227" spans="1:83" ht="15" x14ac:dyDescent="0.2">
      <c r="A227" s="37"/>
      <c r="B227" s="40">
        <v>1</v>
      </c>
      <c r="C227" s="37" t="s">
        <v>432</v>
      </c>
      <c r="D227" s="39" t="s">
        <v>296</v>
      </c>
      <c r="E227" s="44"/>
      <c r="F227" s="40"/>
      <c r="G227" s="44">
        <f>Source!U141</f>
        <v>26.268000000000001</v>
      </c>
      <c r="H227" s="40"/>
      <c r="I227" s="40"/>
      <c r="J227" s="40"/>
      <c r="K227" s="40"/>
      <c r="L227" s="45">
        <f>SUM(L228:L228)-SUMIF(CE228:CE228, 1, L228:L228)</f>
        <v>12597.08</v>
      </c>
    </row>
    <row r="228" spans="1:83" ht="14.25" x14ac:dyDescent="0.2">
      <c r="A228" s="38"/>
      <c r="B228" s="38" t="s">
        <v>316</v>
      </c>
      <c r="C228" s="38" t="s">
        <v>351</v>
      </c>
      <c r="D228" s="39" t="s">
        <v>296</v>
      </c>
      <c r="E228" s="40">
        <v>1.99</v>
      </c>
      <c r="F228" s="40"/>
      <c r="G228" s="40">
        <f>SmtRes!CX35</f>
        <v>26.268000000000001</v>
      </c>
      <c r="H228" s="42"/>
      <c r="I228" s="41"/>
      <c r="J228" s="42">
        <f>SmtRes!CZ35</f>
        <v>479.56</v>
      </c>
      <c r="K228" s="41"/>
      <c r="L228" s="42">
        <f>SmtRes!DI35</f>
        <v>12597.08</v>
      </c>
    </row>
    <row r="229" spans="1:83" ht="15" x14ac:dyDescent="0.2">
      <c r="A229" s="37"/>
      <c r="B229" s="40">
        <v>2</v>
      </c>
      <c r="C229" s="37" t="s">
        <v>446</v>
      </c>
      <c r="D229" s="39"/>
      <c r="E229" s="44"/>
      <c r="F229" s="40"/>
      <c r="G229" s="44"/>
      <c r="H229" s="40"/>
      <c r="I229" s="40"/>
      <c r="J229" s="40"/>
      <c r="K229" s="40"/>
      <c r="L229" s="45">
        <f>SUM(L230:L232)-SUMIF(CE230:CE232, 1, L230:L232)</f>
        <v>610.65999999999985</v>
      </c>
    </row>
    <row r="230" spans="1:83" ht="15" x14ac:dyDescent="0.2">
      <c r="A230" s="37"/>
      <c r="B230" s="40"/>
      <c r="C230" s="37" t="s">
        <v>448</v>
      </c>
      <c r="D230" s="39" t="s">
        <v>296</v>
      </c>
      <c r="E230" s="44"/>
      <c r="F230" s="40"/>
      <c r="G230" s="44">
        <f>Source!V141</f>
        <v>1.056</v>
      </c>
      <c r="H230" s="40"/>
      <c r="I230" s="40"/>
      <c r="J230" s="40"/>
      <c r="K230" s="40"/>
      <c r="L230" s="45">
        <f>SUMIF(CE231:CE232, 1, L231:L232)</f>
        <v>518.02</v>
      </c>
      <c r="CE230">
        <v>1</v>
      </c>
    </row>
    <row r="231" spans="1:83" ht="14.25" x14ac:dyDescent="0.2">
      <c r="A231" s="38"/>
      <c r="B231" s="38" t="s">
        <v>328</v>
      </c>
      <c r="C231" s="38" t="s">
        <v>330</v>
      </c>
      <c r="D231" s="39" t="s">
        <v>311</v>
      </c>
      <c r="E231" s="40">
        <v>0.08</v>
      </c>
      <c r="F231" s="40"/>
      <c r="G231" s="40">
        <f>SmtRes!CX37</f>
        <v>1.056</v>
      </c>
      <c r="H231" s="42">
        <f>SmtRes!CZ37</f>
        <v>477.92</v>
      </c>
      <c r="I231" s="41">
        <f>SmtRes!AJ37</f>
        <v>1.21</v>
      </c>
      <c r="J231" s="42">
        <f>ROUND(H231*I231, 2)</f>
        <v>578.28</v>
      </c>
      <c r="K231" s="41"/>
      <c r="L231" s="42">
        <f>SmtRes!DG37</f>
        <v>610.66</v>
      </c>
    </row>
    <row r="232" spans="1:83" ht="14.25" x14ac:dyDescent="0.2">
      <c r="A232" s="38"/>
      <c r="B232" s="38" t="s">
        <v>312</v>
      </c>
      <c r="C232" s="38" t="s">
        <v>447</v>
      </c>
      <c r="D232" s="39" t="s">
        <v>296</v>
      </c>
      <c r="E232" s="40">
        <f>SmtRes!DO37*SmtRes!AT37</f>
        <v>0.08</v>
      </c>
      <c r="F232" s="40"/>
      <c r="G232" s="40">
        <f>SmtRes!DO37*SmtRes!CX37</f>
        <v>1.056</v>
      </c>
      <c r="H232" s="42"/>
      <c r="I232" s="41"/>
      <c r="J232" s="42">
        <f>ROUND(SmtRes!AG37/SmtRes!DO37, 2)</f>
        <v>490.55</v>
      </c>
      <c r="K232" s="41"/>
      <c r="L232" s="42">
        <f>SmtRes!DH37</f>
        <v>518.02</v>
      </c>
      <c r="CE232">
        <v>1</v>
      </c>
    </row>
    <row r="233" spans="1:83" ht="15" x14ac:dyDescent="0.2">
      <c r="A233" s="37"/>
      <c r="B233" s="40">
        <v>4</v>
      </c>
      <c r="C233" s="60" t="s">
        <v>449</v>
      </c>
      <c r="D233" s="47"/>
      <c r="E233" s="61"/>
      <c r="F233" s="48"/>
      <c r="G233" s="61"/>
      <c r="H233" s="48"/>
      <c r="I233" s="48"/>
      <c r="J233" s="48"/>
      <c r="K233" s="48"/>
      <c r="L233" s="62">
        <f>0</f>
        <v>0</v>
      </c>
    </row>
    <row r="234" spans="1:83" ht="15" x14ac:dyDescent="0.2">
      <c r="A234" s="38"/>
      <c r="B234" s="38"/>
      <c r="C234" s="53" t="s">
        <v>433</v>
      </c>
      <c r="D234" s="39"/>
      <c r="E234" s="40"/>
      <c r="F234" s="40"/>
      <c r="G234" s="40"/>
      <c r="H234" s="42"/>
      <c r="I234" s="41"/>
      <c r="J234" s="42"/>
      <c r="K234" s="41"/>
      <c r="L234" s="42">
        <f>L227+L229+L230+L233</f>
        <v>13725.76</v>
      </c>
    </row>
    <row r="235" spans="1:83" ht="14.25" x14ac:dyDescent="0.2">
      <c r="A235" s="38"/>
      <c r="B235" s="38"/>
      <c r="C235" s="38" t="s">
        <v>434</v>
      </c>
      <c r="D235" s="39"/>
      <c r="E235" s="40"/>
      <c r="F235" s="40"/>
      <c r="G235" s="40"/>
      <c r="H235" s="42"/>
      <c r="I235" s="41"/>
      <c r="J235" s="42"/>
      <c r="K235" s="41"/>
      <c r="L235" s="42">
        <f>SUM(AR225:AR238)+SUM(AS225:AS238)+SUM(AT225:AT238)+SUM(AU225:AU238)+SUM(AV225:AV238)</f>
        <v>13115.1</v>
      </c>
    </row>
    <row r="236" spans="1:83" ht="28.5" x14ac:dyDescent="0.2">
      <c r="A236" s="38"/>
      <c r="B236" s="38" t="s">
        <v>132</v>
      </c>
      <c r="C236" s="38" t="s">
        <v>481</v>
      </c>
      <c r="D236" s="39" t="s">
        <v>350</v>
      </c>
      <c r="E236" s="40">
        <f>Source!BZ141</f>
        <v>97</v>
      </c>
      <c r="F236" s="40"/>
      <c r="G236" s="40">
        <f>Source!AT141</f>
        <v>97</v>
      </c>
      <c r="H236" s="42"/>
      <c r="I236" s="41"/>
      <c r="J236" s="42"/>
      <c r="K236" s="41"/>
      <c r="L236" s="42">
        <f>SUM(AZ225:AZ238)</f>
        <v>12721.65</v>
      </c>
    </row>
    <row r="237" spans="1:83" ht="28.5" x14ac:dyDescent="0.2">
      <c r="A237" s="46"/>
      <c r="B237" s="46" t="s">
        <v>133</v>
      </c>
      <c r="C237" s="46" t="s">
        <v>482</v>
      </c>
      <c r="D237" s="47" t="s">
        <v>350</v>
      </c>
      <c r="E237" s="48">
        <f>Source!CA141</f>
        <v>51</v>
      </c>
      <c r="F237" s="48"/>
      <c r="G237" s="48">
        <f>Source!AU141</f>
        <v>51</v>
      </c>
      <c r="H237" s="49"/>
      <c r="I237" s="50"/>
      <c r="J237" s="49"/>
      <c r="K237" s="50"/>
      <c r="L237" s="49">
        <f>SUM(BA225:BA238)</f>
        <v>6688.7</v>
      </c>
    </row>
    <row r="238" spans="1:83" ht="15" x14ac:dyDescent="0.2">
      <c r="C238" s="89" t="s">
        <v>437</v>
      </c>
      <c r="D238" s="89"/>
      <c r="E238" s="89"/>
      <c r="F238" s="89"/>
      <c r="G238" s="89"/>
      <c r="H238" s="89"/>
      <c r="I238" s="90">
        <f>K238/E225</f>
        <v>2510.3113636363637</v>
      </c>
      <c r="J238" s="90"/>
      <c r="K238" s="90">
        <f>L227+L229+L233+L236+L237+L230</f>
        <v>33136.11</v>
      </c>
      <c r="L238" s="90"/>
      <c r="AD238">
        <f>ROUND((Source!AT141/100)*((ROUND(SUMIF(SmtRes!AQ35:'SmtRes'!AQ38,"=1",SmtRes!AD35:'SmtRes'!AD38)*Source!I141, 2)+ROUND(SUMIF(SmtRes!AQ35:'SmtRes'!AQ38,"=1",SmtRes!AC35:'SmtRes'!AC38)*Source!I141, 2))), 2)</f>
        <v>12421.29</v>
      </c>
      <c r="AE238">
        <f>ROUND((Source!AU141/100)*((ROUND(SUMIF(SmtRes!AQ35:'SmtRes'!AQ38,"=1",SmtRes!AD35:'SmtRes'!AD38)*Source!I141, 2)+ROUND(SUMIF(SmtRes!AQ35:'SmtRes'!AQ38,"=1",SmtRes!AC35:'SmtRes'!AC38)*Source!I141, 2))), 2)</f>
        <v>6530.78</v>
      </c>
      <c r="AN238" s="51">
        <f>L227+L229+L233+L236+L237+L230</f>
        <v>33136.11</v>
      </c>
      <c r="AO238" s="51">
        <f>L229</f>
        <v>610.65999999999985</v>
      </c>
      <c r="AQ238" t="s">
        <v>438</v>
      </c>
      <c r="AR238" s="51">
        <f>L227</f>
        <v>12597.08</v>
      </c>
      <c r="AT238" s="51">
        <f>L230</f>
        <v>518.02</v>
      </c>
      <c r="AV238" t="s">
        <v>438</v>
      </c>
      <c r="AW238" s="51">
        <f>L233</f>
        <v>0</v>
      </c>
      <c r="AZ238">
        <f>Source!X141</f>
        <v>12721.65</v>
      </c>
      <c r="BA238">
        <f>Source!Y141</f>
        <v>6688.7</v>
      </c>
      <c r="CD238">
        <v>2</v>
      </c>
    </row>
    <row r="239" spans="1:83" ht="28.5" x14ac:dyDescent="0.2">
      <c r="A239" s="36" t="s">
        <v>147</v>
      </c>
      <c r="B239" s="38" t="s">
        <v>478</v>
      </c>
      <c r="C239" s="38" t="str">
        <f>Source!G142</f>
        <v>Кабель до 35 кВ в готовых траншеях без покрытий, масса 1 м: свыше 3 до 6 кг</v>
      </c>
      <c r="D239" s="39" t="str">
        <f>Source!H142</f>
        <v>100 м</v>
      </c>
      <c r="E239" s="40">
        <f>Source!K142</f>
        <v>26.4</v>
      </c>
      <c r="F239" s="40"/>
      <c r="G239" s="40">
        <f>Source!I142</f>
        <v>26.4</v>
      </c>
      <c r="H239" s="42"/>
      <c r="I239" s="41"/>
      <c r="J239" s="42"/>
      <c r="K239" s="41"/>
      <c r="L239" s="42"/>
    </row>
    <row r="240" spans="1:83" x14ac:dyDescent="0.2">
      <c r="C240" s="56" t="str">
        <f>"Объем: "&amp;Source!I142&amp;"=2640/"&amp;"100"</f>
        <v>Объем: 26,4=2640/100</v>
      </c>
    </row>
    <row r="241" spans="1:83" ht="15" x14ac:dyDescent="0.2">
      <c r="A241" s="37"/>
      <c r="B241" s="40">
        <v>1</v>
      </c>
      <c r="C241" s="37" t="s">
        <v>432</v>
      </c>
      <c r="D241" s="39" t="s">
        <v>296</v>
      </c>
      <c r="E241" s="44"/>
      <c r="F241" s="40"/>
      <c r="G241" s="44">
        <f>Source!U142</f>
        <v>460.416</v>
      </c>
      <c r="H241" s="40"/>
      <c r="I241" s="40"/>
      <c r="J241" s="40"/>
      <c r="K241" s="40"/>
      <c r="L241" s="45">
        <f>SUM(L242:L242)-SUMIF(CE242:CE242, 1, L242:L242)</f>
        <v>220797.1</v>
      </c>
    </row>
    <row r="242" spans="1:83" ht="14.25" x14ac:dyDescent="0.2">
      <c r="A242" s="38"/>
      <c r="B242" s="38" t="s">
        <v>316</v>
      </c>
      <c r="C242" s="38" t="s">
        <v>317</v>
      </c>
      <c r="D242" s="39" t="s">
        <v>296</v>
      </c>
      <c r="E242" s="40">
        <v>17.440000000000001</v>
      </c>
      <c r="F242" s="40"/>
      <c r="G242" s="40">
        <f>SmtRes!CX39</f>
        <v>460.416</v>
      </c>
      <c r="H242" s="42"/>
      <c r="I242" s="41"/>
      <c r="J242" s="42">
        <f>SmtRes!CZ39</f>
        <v>479.56</v>
      </c>
      <c r="K242" s="41"/>
      <c r="L242" s="42">
        <f>SmtRes!DI39</f>
        <v>220797.1</v>
      </c>
    </row>
    <row r="243" spans="1:83" ht="15" x14ac:dyDescent="0.2">
      <c r="A243" s="37"/>
      <c r="B243" s="40">
        <v>2</v>
      </c>
      <c r="C243" s="37" t="s">
        <v>446</v>
      </c>
      <c r="D243" s="39"/>
      <c r="E243" s="44"/>
      <c r="F243" s="40"/>
      <c r="G243" s="44"/>
      <c r="H243" s="40"/>
      <c r="I243" s="40"/>
      <c r="J243" s="40"/>
      <c r="K243" s="40"/>
      <c r="L243" s="45">
        <f>SUM(L244:L250)-SUMIF(CE244:CE250, 1, L244:L250)</f>
        <v>76389.87000000001</v>
      </c>
    </row>
    <row r="244" spans="1:83" ht="15" x14ac:dyDescent="0.2">
      <c r="A244" s="37"/>
      <c r="B244" s="40"/>
      <c r="C244" s="37" t="s">
        <v>448</v>
      </c>
      <c r="D244" s="39" t="s">
        <v>296</v>
      </c>
      <c r="E244" s="44"/>
      <c r="F244" s="40"/>
      <c r="G244" s="44">
        <f>Source!V142</f>
        <v>69.695999999999998</v>
      </c>
      <c r="H244" s="40"/>
      <c r="I244" s="40"/>
      <c r="J244" s="40"/>
      <c r="K244" s="40"/>
      <c r="L244" s="45">
        <f>SUMIF(CE245:CE250, 1, L245:L250)</f>
        <v>40057.43</v>
      </c>
      <c r="CE244">
        <v>1</v>
      </c>
    </row>
    <row r="245" spans="1:83" ht="28.5" x14ac:dyDescent="0.2">
      <c r="A245" s="38"/>
      <c r="B245" s="38" t="s">
        <v>318</v>
      </c>
      <c r="C245" s="38" t="s">
        <v>320</v>
      </c>
      <c r="D245" s="39" t="s">
        <v>311</v>
      </c>
      <c r="E245" s="40">
        <v>1.32</v>
      </c>
      <c r="F245" s="40"/>
      <c r="G245" s="40">
        <f>SmtRes!CX41</f>
        <v>34.847999999999999</v>
      </c>
      <c r="H245" s="42"/>
      <c r="I245" s="41"/>
      <c r="J245" s="42">
        <f>SmtRes!CZ41</f>
        <v>1551.19</v>
      </c>
      <c r="K245" s="41"/>
      <c r="L245" s="42">
        <f>SmtRes!DG41</f>
        <v>54055.87</v>
      </c>
    </row>
    <row r="246" spans="1:83" ht="14.25" x14ac:dyDescent="0.2">
      <c r="A246" s="38"/>
      <c r="B246" s="38" t="s">
        <v>321</v>
      </c>
      <c r="C246" s="38" t="s">
        <v>480</v>
      </c>
      <c r="D246" s="39" t="s">
        <v>296</v>
      </c>
      <c r="E246" s="40">
        <f>SmtRes!DO41*SmtRes!AT41</f>
        <v>1.32</v>
      </c>
      <c r="F246" s="40"/>
      <c r="G246" s="40">
        <f>SmtRes!DO41*SmtRes!CX41</f>
        <v>34.847999999999999</v>
      </c>
      <c r="H246" s="42"/>
      <c r="I246" s="41"/>
      <c r="J246" s="42">
        <f>ROUND(SmtRes!AG41/SmtRes!DO41, 2)</f>
        <v>658.94</v>
      </c>
      <c r="K246" s="41"/>
      <c r="L246" s="42">
        <f>SmtRes!DH41</f>
        <v>22962.74</v>
      </c>
      <c r="CE246">
        <v>1</v>
      </c>
    </row>
    <row r="247" spans="1:83" ht="28.5" x14ac:dyDescent="0.2">
      <c r="A247" s="38"/>
      <c r="B247" s="38" t="s">
        <v>322</v>
      </c>
      <c r="C247" s="38" t="s">
        <v>324</v>
      </c>
      <c r="D247" s="39" t="s">
        <v>311</v>
      </c>
      <c r="E247" s="40">
        <v>3.97</v>
      </c>
      <c r="F247" s="40"/>
      <c r="G247" s="40">
        <f>SmtRes!CX42</f>
        <v>104.80800000000001</v>
      </c>
      <c r="H247" s="42">
        <f>SmtRes!CZ42</f>
        <v>1.75</v>
      </c>
      <c r="I247" s="41">
        <f>SmtRes!AJ42</f>
        <v>1.45</v>
      </c>
      <c r="J247" s="42">
        <f>ROUND(H247*I247, 2)</f>
        <v>2.54</v>
      </c>
      <c r="K247" s="41"/>
      <c r="L247" s="42">
        <f>SmtRes!DG42</f>
        <v>266.20999999999998</v>
      </c>
    </row>
    <row r="248" spans="1:83" ht="28.5" x14ac:dyDescent="0.2">
      <c r="A248" s="38"/>
      <c r="B248" s="38" t="s">
        <v>325</v>
      </c>
      <c r="C248" s="38" t="s">
        <v>327</v>
      </c>
      <c r="D248" s="39" t="s">
        <v>311</v>
      </c>
      <c r="E248" s="40">
        <v>3.97</v>
      </c>
      <c r="F248" s="40"/>
      <c r="G248" s="40">
        <f>SmtRes!CX43</f>
        <v>104.80800000000001</v>
      </c>
      <c r="H248" s="42">
        <f>SmtRes!CZ43</f>
        <v>13.44</v>
      </c>
      <c r="I248" s="41">
        <f>SmtRes!AJ43</f>
        <v>1.36</v>
      </c>
      <c r="J248" s="42">
        <f>ROUND(H248*I248, 2)</f>
        <v>18.28</v>
      </c>
      <c r="K248" s="41"/>
      <c r="L248" s="42">
        <f>SmtRes!DG43</f>
        <v>1915.89</v>
      </c>
    </row>
    <row r="249" spans="1:83" ht="14.25" x14ac:dyDescent="0.2">
      <c r="A249" s="38"/>
      <c r="B249" s="38" t="s">
        <v>328</v>
      </c>
      <c r="C249" s="38" t="s">
        <v>330</v>
      </c>
      <c r="D249" s="39" t="s">
        <v>311</v>
      </c>
      <c r="E249" s="40">
        <v>1.32</v>
      </c>
      <c r="F249" s="40"/>
      <c r="G249" s="40">
        <f>SmtRes!CX44</f>
        <v>34.847999999999999</v>
      </c>
      <c r="H249" s="42">
        <f>SmtRes!CZ44</f>
        <v>477.92</v>
      </c>
      <c r="I249" s="41">
        <f>SmtRes!AJ44</f>
        <v>1.21</v>
      </c>
      <c r="J249" s="42">
        <f>ROUND(H249*I249, 2)</f>
        <v>578.28</v>
      </c>
      <c r="K249" s="41"/>
      <c r="L249" s="42">
        <f>SmtRes!DG44</f>
        <v>20151.900000000001</v>
      </c>
    </row>
    <row r="250" spans="1:83" ht="14.25" x14ac:dyDescent="0.2">
      <c r="A250" s="38"/>
      <c r="B250" s="38" t="s">
        <v>312</v>
      </c>
      <c r="C250" s="38" t="s">
        <v>447</v>
      </c>
      <c r="D250" s="39" t="s">
        <v>296</v>
      </c>
      <c r="E250" s="40">
        <f>SmtRes!DO44*SmtRes!AT44</f>
        <v>1.32</v>
      </c>
      <c r="F250" s="40"/>
      <c r="G250" s="40">
        <f>SmtRes!DO44*SmtRes!CX44</f>
        <v>34.847999999999999</v>
      </c>
      <c r="H250" s="42"/>
      <c r="I250" s="41"/>
      <c r="J250" s="42">
        <f>ROUND(SmtRes!AG44/SmtRes!DO44, 2)</f>
        <v>490.55</v>
      </c>
      <c r="K250" s="41"/>
      <c r="L250" s="42">
        <f>SmtRes!DH44</f>
        <v>17094.689999999999</v>
      </c>
      <c r="CE250">
        <v>1</v>
      </c>
    </row>
    <row r="251" spans="1:83" ht="15" x14ac:dyDescent="0.2">
      <c r="A251" s="37"/>
      <c r="B251" s="40">
        <v>4</v>
      </c>
      <c r="C251" s="37" t="s">
        <v>449</v>
      </c>
      <c r="D251" s="39"/>
      <c r="E251" s="44"/>
      <c r="F251" s="40"/>
      <c r="G251" s="44"/>
      <c r="H251" s="40"/>
      <c r="I251" s="40"/>
      <c r="J251" s="40"/>
      <c r="K251" s="40"/>
      <c r="L251" s="45">
        <f>SUM(L252:L256)-SUMIF(CE252:CE256, 1, L252:L256)</f>
        <v>17230.32</v>
      </c>
    </row>
    <row r="252" spans="1:83" ht="42.75" x14ac:dyDescent="0.2">
      <c r="A252" s="38"/>
      <c r="B252" s="38" t="s">
        <v>331</v>
      </c>
      <c r="C252" s="38" t="s">
        <v>333</v>
      </c>
      <c r="D252" s="39" t="s">
        <v>334</v>
      </c>
      <c r="E252" s="40">
        <v>9.6000000000000002E-2</v>
      </c>
      <c r="F252" s="40"/>
      <c r="G252" s="40">
        <f>SmtRes!CX45</f>
        <v>2.5344000000000002</v>
      </c>
      <c r="H252" s="42">
        <f>SmtRes!CZ45</f>
        <v>37.71</v>
      </c>
      <c r="I252" s="41">
        <f>SmtRes!AI45</f>
        <v>1.53</v>
      </c>
      <c r="J252" s="42">
        <f>ROUND(H252*I252, 2)</f>
        <v>57.7</v>
      </c>
      <c r="K252" s="41"/>
      <c r="L252" s="42">
        <f>SmtRes!DF45</f>
        <v>146.22999999999999</v>
      </c>
    </row>
    <row r="253" spans="1:83" ht="28.5" x14ac:dyDescent="0.2">
      <c r="A253" s="38"/>
      <c r="B253" s="38" t="s">
        <v>335</v>
      </c>
      <c r="C253" s="38" t="s">
        <v>337</v>
      </c>
      <c r="D253" s="39" t="s">
        <v>338</v>
      </c>
      <c r="E253" s="40">
        <v>1E-3</v>
      </c>
      <c r="F253" s="40"/>
      <c r="G253" s="40">
        <f>SmtRes!CX46</f>
        <v>2.64E-2</v>
      </c>
      <c r="H253" s="42">
        <f>SmtRes!CZ46</f>
        <v>70310.45</v>
      </c>
      <c r="I253" s="41">
        <f>SmtRes!AI46</f>
        <v>0.88</v>
      </c>
      <c r="J253" s="42">
        <f>ROUND(H253*I253, 2)</f>
        <v>61873.2</v>
      </c>
      <c r="K253" s="41"/>
      <c r="L253" s="42">
        <f>SmtRes!DF46</f>
        <v>1633.45</v>
      </c>
    </row>
    <row r="254" spans="1:83" ht="42.75" x14ac:dyDescent="0.2">
      <c r="A254" s="38"/>
      <c r="B254" s="38" t="s">
        <v>339</v>
      </c>
      <c r="C254" s="38" t="s">
        <v>341</v>
      </c>
      <c r="D254" s="39" t="s">
        <v>338</v>
      </c>
      <c r="E254" s="40">
        <v>0.01</v>
      </c>
      <c r="F254" s="40"/>
      <c r="G254" s="40">
        <f>SmtRes!CX47</f>
        <v>0.26400000000000001</v>
      </c>
      <c r="H254" s="42"/>
      <c r="I254" s="41"/>
      <c r="J254" s="42">
        <f>SmtRes!CZ47</f>
        <v>55303.81</v>
      </c>
      <c r="K254" s="41"/>
      <c r="L254" s="42">
        <f>SmtRes!DF47</f>
        <v>14600.21</v>
      </c>
    </row>
    <row r="255" spans="1:83" ht="14.25" x14ac:dyDescent="0.2">
      <c r="A255" s="38"/>
      <c r="B255" s="38" t="s">
        <v>342</v>
      </c>
      <c r="C255" s="38" t="s">
        <v>344</v>
      </c>
      <c r="D255" s="39" t="s">
        <v>117</v>
      </c>
      <c r="E255" s="40">
        <v>0.25</v>
      </c>
      <c r="F255" s="40"/>
      <c r="G255" s="40">
        <f>SmtRes!CX48</f>
        <v>6.6</v>
      </c>
      <c r="H255" s="42">
        <f>SmtRes!CZ48</f>
        <v>79.88</v>
      </c>
      <c r="I255" s="41">
        <f>SmtRes!AI48</f>
        <v>1.31</v>
      </c>
      <c r="J255" s="42">
        <f>ROUND(H255*I255, 2)</f>
        <v>104.64</v>
      </c>
      <c r="K255" s="41"/>
      <c r="L255" s="42">
        <f>SmtRes!DF48</f>
        <v>690.62</v>
      </c>
    </row>
    <row r="256" spans="1:83" ht="14.25" x14ac:dyDescent="0.2">
      <c r="A256" s="38"/>
      <c r="B256" s="38" t="s">
        <v>345</v>
      </c>
      <c r="C256" s="46" t="s">
        <v>347</v>
      </c>
      <c r="D256" s="47" t="s">
        <v>338</v>
      </c>
      <c r="E256" s="48">
        <v>6.0000000000000002E-5</v>
      </c>
      <c r="F256" s="48"/>
      <c r="G256" s="48">
        <f>SmtRes!CX49</f>
        <v>1.5839999999999999E-3</v>
      </c>
      <c r="H256" s="49">
        <f>SmtRes!CZ49</f>
        <v>82698.14</v>
      </c>
      <c r="I256" s="50">
        <f>SmtRes!AI49</f>
        <v>1.22</v>
      </c>
      <c r="J256" s="49">
        <f>ROUND(H256*I256, 2)</f>
        <v>100891.73</v>
      </c>
      <c r="K256" s="50"/>
      <c r="L256" s="49">
        <f>SmtRes!DF49</f>
        <v>159.81</v>
      </c>
    </row>
    <row r="257" spans="1:83" ht="15" x14ac:dyDescent="0.2">
      <c r="A257" s="38"/>
      <c r="B257" s="38"/>
      <c r="C257" s="53" t="s">
        <v>433</v>
      </c>
      <c r="D257" s="39"/>
      <c r="E257" s="40"/>
      <c r="F257" s="40"/>
      <c r="G257" s="40"/>
      <c r="H257" s="42"/>
      <c r="I257" s="41"/>
      <c r="J257" s="42"/>
      <c r="K257" s="41"/>
      <c r="L257" s="42">
        <f>L241+L243+L244+L251</f>
        <v>354474.72000000003</v>
      </c>
    </row>
    <row r="258" spans="1:83" ht="14.25" x14ac:dyDescent="0.2">
      <c r="A258" s="38"/>
      <c r="B258" s="38"/>
      <c r="C258" s="38" t="s">
        <v>434</v>
      </c>
      <c r="D258" s="39"/>
      <c r="E258" s="40"/>
      <c r="F258" s="40"/>
      <c r="G258" s="40"/>
      <c r="H258" s="42"/>
      <c r="I258" s="41"/>
      <c r="J258" s="42"/>
      <c r="K258" s="41"/>
      <c r="L258" s="42">
        <f>SUM(AR239:AR261)+SUM(AS239:AS261)+SUM(AT239:AT261)+SUM(AU239:AU261)+SUM(AV239:AV261)</f>
        <v>260854.53</v>
      </c>
    </row>
    <row r="259" spans="1:83" ht="28.5" x14ac:dyDescent="0.2">
      <c r="A259" s="38"/>
      <c r="B259" s="38" t="s">
        <v>132</v>
      </c>
      <c r="C259" s="38" t="s">
        <v>481</v>
      </c>
      <c r="D259" s="39" t="s">
        <v>350</v>
      </c>
      <c r="E259" s="40">
        <f>Source!BZ142</f>
        <v>97</v>
      </c>
      <c r="F259" s="40"/>
      <c r="G259" s="40">
        <f>Source!AT142</f>
        <v>97</v>
      </c>
      <c r="H259" s="42"/>
      <c r="I259" s="41"/>
      <c r="J259" s="42"/>
      <c r="K259" s="41"/>
      <c r="L259" s="42">
        <f>SUM(AZ239:AZ261)</f>
        <v>253028.89</v>
      </c>
    </row>
    <row r="260" spans="1:83" ht="28.5" x14ac:dyDescent="0.2">
      <c r="A260" s="46"/>
      <c r="B260" s="46" t="s">
        <v>133</v>
      </c>
      <c r="C260" s="46" t="s">
        <v>482</v>
      </c>
      <c r="D260" s="47" t="s">
        <v>350</v>
      </c>
      <c r="E260" s="48">
        <f>Source!CA142</f>
        <v>51</v>
      </c>
      <c r="F260" s="48"/>
      <c r="G260" s="48">
        <f>Source!AU142</f>
        <v>51</v>
      </c>
      <c r="H260" s="49"/>
      <c r="I260" s="50"/>
      <c r="J260" s="49"/>
      <c r="K260" s="50"/>
      <c r="L260" s="49">
        <f>SUM(BA239:BA261)</f>
        <v>133035.81</v>
      </c>
    </row>
    <row r="261" spans="1:83" ht="15" x14ac:dyDescent="0.2">
      <c r="C261" s="89" t="s">
        <v>437</v>
      </c>
      <c r="D261" s="89"/>
      <c r="E261" s="89"/>
      <c r="F261" s="89"/>
      <c r="G261" s="89"/>
      <c r="H261" s="89"/>
      <c r="I261" s="90">
        <f>K261/E239</f>
        <v>28050.735606060611</v>
      </c>
      <c r="J261" s="90"/>
      <c r="K261" s="90">
        <f>L241+L243+L251+L259+L260+L244</f>
        <v>740539.42</v>
      </c>
      <c r="L261" s="90"/>
      <c r="AD261">
        <f>ROUND((Source!AT142/100)*((ROUND(SUMIF(SmtRes!AQ39:'SmtRes'!AQ50,"=1",SmtRes!AD39:'SmtRes'!AD50)*Source!I142, 2)+ROUND(SUMIF(SmtRes!AQ39:'SmtRes'!AQ50,"=1",SmtRes!AC39:'SmtRes'!AC50)*Source!I142, 2))), 2)</f>
        <v>41716.71</v>
      </c>
      <c r="AE261">
        <f>ROUND((Source!AU142/100)*((ROUND(SUMIF(SmtRes!AQ39:'SmtRes'!AQ50,"=1",SmtRes!AD39:'SmtRes'!AD50)*Source!I142, 2)+ROUND(SUMIF(SmtRes!AQ39:'SmtRes'!AQ50,"=1",SmtRes!AC39:'SmtRes'!AC50)*Source!I142, 2))), 2)</f>
        <v>21933.53</v>
      </c>
      <c r="AN261" s="51">
        <f>L241+L243+L251+L259+L260+L244</f>
        <v>740539.42</v>
      </c>
      <c r="AO261" s="51">
        <f>L243</f>
        <v>76389.87000000001</v>
      </c>
      <c r="AQ261" t="s">
        <v>438</v>
      </c>
      <c r="AR261" s="51">
        <f>L241</f>
        <v>220797.1</v>
      </c>
      <c r="AT261" s="51">
        <f>L244</f>
        <v>40057.43</v>
      </c>
      <c r="AV261" t="s">
        <v>438</v>
      </c>
      <c r="AW261" s="51">
        <f>L251</f>
        <v>17230.32</v>
      </c>
      <c r="AZ261">
        <f>Source!X142</f>
        <v>253028.89</v>
      </c>
      <c r="BA261">
        <f>Source!Y142</f>
        <v>133035.81</v>
      </c>
      <c r="CD261">
        <v>2</v>
      </c>
    </row>
    <row r="262" spans="1:83" ht="28.5" x14ac:dyDescent="0.2">
      <c r="A262" s="36" t="s">
        <v>148</v>
      </c>
      <c r="B262" s="38" t="s">
        <v>483</v>
      </c>
      <c r="C262" s="38" t="str">
        <f>Source!G143</f>
        <v>Муфта соединительная  для 3-4-жильного кабеля напряжением: до 10 кВ, сечение жил до 240 мм2</v>
      </c>
      <c r="D262" s="39" t="str">
        <f>Source!H143</f>
        <v>ШТ</v>
      </c>
      <c r="E262" s="40">
        <f>Source!K143</f>
        <v>6</v>
      </c>
      <c r="F262" s="40"/>
      <c r="G262" s="40">
        <f>Source!I143</f>
        <v>6</v>
      </c>
      <c r="H262" s="42"/>
      <c r="I262" s="41"/>
      <c r="J262" s="42"/>
      <c r="K262" s="41"/>
      <c r="L262" s="42"/>
    </row>
    <row r="263" spans="1:83" ht="15" x14ac:dyDescent="0.2">
      <c r="A263" s="37"/>
      <c r="B263" s="40">
        <v>1</v>
      </c>
      <c r="C263" s="37" t="s">
        <v>432</v>
      </c>
      <c r="D263" s="39" t="s">
        <v>296</v>
      </c>
      <c r="E263" s="44"/>
      <c r="F263" s="40"/>
      <c r="G263" s="44">
        <f>Source!U143</f>
        <v>67.2</v>
      </c>
      <c r="H263" s="40"/>
      <c r="I263" s="40"/>
      <c r="J263" s="40"/>
      <c r="K263" s="40"/>
      <c r="L263" s="45">
        <f>SUM(L264:L264)-SUMIF(CE264:CE264, 1, L264:L264)</f>
        <v>32226.43</v>
      </c>
    </row>
    <row r="264" spans="1:83" ht="14.25" x14ac:dyDescent="0.2">
      <c r="A264" s="38"/>
      <c r="B264" s="38" t="s">
        <v>316</v>
      </c>
      <c r="C264" s="38" t="s">
        <v>351</v>
      </c>
      <c r="D264" s="39" t="s">
        <v>296</v>
      </c>
      <c r="E264" s="40">
        <v>11.2</v>
      </c>
      <c r="F264" s="40"/>
      <c r="G264" s="40">
        <f>SmtRes!CX51</f>
        <v>67.2</v>
      </c>
      <c r="H264" s="42"/>
      <c r="I264" s="41"/>
      <c r="J264" s="42">
        <f>SmtRes!CZ51</f>
        <v>479.56</v>
      </c>
      <c r="K264" s="41"/>
      <c r="L264" s="42">
        <f>SmtRes!DI51</f>
        <v>32226.43</v>
      </c>
    </row>
    <row r="265" spans="1:83" ht="15" x14ac:dyDescent="0.2">
      <c r="A265" s="37"/>
      <c r="B265" s="40">
        <v>2</v>
      </c>
      <c r="C265" s="37" t="s">
        <v>446</v>
      </c>
      <c r="D265" s="39"/>
      <c r="E265" s="44"/>
      <c r="F265" s="40"/>
      <c r="G265" s="44"/>
      <c r="H265" s="40"/>
      <c r="I265" s="40"/>
      <c r="J265" s="40"/>
      <c r="K265" s="40"/>
      <c r="L265" s="45">
        <f>SUM(L266:L270)-SUMIF(CE266:CE270, 1, L266:L270)</f>
        <v>127.76999999999998</v>
      </c>
    </row>
    <row r="266" spans="1:83" ht="15" x14ac:dyDescent="0.2">
      <c r="A266" s="37"/>
      <c r="B266" s="40"/>
      <c r="C266" s="37" t="s">
        <v>448</v>
      </c>
      <c r="D266" s="39" t="s">
        <v>296</v>
      </c>
      <c r="E266" s="44"/>
      <c r="F266" s="40"/>
      <c r="G266" s="44">
        <f>Source!V143</f>
        <v>0.12</v>
      </c>
      <c r="H266" s="40"/>
      <c r="I266" s="40"/>
      <c r="J266" s="40"/>
      <c r="K266" s="40"/>
      <c r="L266" s="45">
        <f>SUMIF(CE267:CE270, 1, L267:L270)</f>
        <v>68.97</v>
      </c>
      <c r="CE266">
        <v>1</v>
      </c>
    </row>
    <row r="267" spans="1:83" ht="28.5" x14ac:dyDescent="0.2">
      <c r="A267" s="38"/>
      <c r="B267" s="38" t="s">
        <v>318</v>
      </c>
      <c r="C267" s="38" t="s">
        <v>320</v>
      </c>
      <c r="D267" s="39" t="s">
        <v>311</v>
      </c>
      <c r="E267" s="40">
        <v>0.01</v>
      </c>
      <c r="F267" s="40"/>
      <c r="G267" s="40">
        <f>SmtRes!CX53</f>
        <v>0.06</v>
      </c>
      <c r="H267" s="42"/>
      <c r="I267" s="41"/>
      <c r="J267" s="42">
        <f>SmtRes!CZ53</f>
        <v>1551.19</v>
      </c>
      <c r="K267" s="41"/>
      <c r="L267" s="42">
        <f>SmtRes!DG53</f>
        <v>93.07</v>
      </c>
    </row>
    <row r="268" spans="1:83" ht="14.25" x14ac:dyDescent="0.2">
      <c r="A268" s="38"/>
      <c r="B268" s="38" t="s">
        <v>321</v>
      </c>
      <c r="C268" s="38" t="s">
        <v>480</v>
      </c>
      <c r="D268" s="39" t="s">
        <v>296</v>
      </c>
      <c r="E268" s="40">
        <f>SmtRes!DO53*SmtRes!AT53</f>
        <v>0.01</v>
      </c>
      <c r="F268" s="40"/>
      <c r="G268" s="40">
        <f>SmtRes!DO53*SmtRes!CX53</f>
        <v>0.06</v>
      </c>
      <c r="H268" s="42"/>
      <c r="I268" s="41"/>
      <c r="J268" s="42">
        <f>ROUND(SmtRes!AG53/SmtRes!DO53, 2)</f>
        <v>658.94</v>
      </c>
      <c r="K268" s="41"/>
      <c r="L268" s="42">
        <f>SmtRes!DH53</f>
        <v>39.54</v>
      </c>
      <c r="CE268">
        <v>1</v>
      </c>
    </row>
    <row r="269" spans="1:83" ht="14.25" x14ac:dyDescent="0.2">
      <c r="A269" s="38"/>
      <c r="B269" s="38" t="s">
        <v>328</v>
      </c>
      <c r="C269" s="38" t="s">
        <v>330</v>
      </c>
      <c r="D269" s="39" t="s">
        <v>311</v>
      </c>
      <c r="E269" s="40">
        <v>0.01</v>
      </c>
      <c r="F269" s="40"/>
      <c r="G269" s="40">
        <f>SmtRes!CX54</f>
        <v>0.06</v>
      </c>
      <c r="H269" s="42">
        <f>SmtRes!CZ54</f>
        <v>477.92</v>
      </c>
      <c r="I269" s="41">
        <f>SmtRes!AJ54</f>
        <v>1.21</v>
      </c>
      <c r="J269" s="42">
        <f>ROUND(H269*I269, 2)</f>
        <v>578.28</v>
      </c>
      <c r="K269" s="41"/>
      <c r="L269" s="42">
        <f>SmtRes!DG54</f>
        <v>34.700000000000003</v>
      </c>
    </row>
    <row r="270" spans="1:83" ht="14.25" x14ac:dyDescent="0.2">
      <c r="A270" s="38"/>
      <c r="B270" s="38" t="s">
        <v>312</v>
      </c>
      <c r="C270" s="38" t="s">
        <v>447</v>
      </c>
      <c r="D270" s="39" t="s">
        <v>296</v>
      </c>
      <c r="E270" s="40">
        <f>SmtRes!DO54*SmtRes!AT54</f>
        <v>0.01</v>
      </c>
      <c r="F270" s="40"/>
      <c r="G270" s="40">
        <f>SmtRes!DO54*SmtRes!CX54</f>
        <v>0.06</v>
      </c>
      <c r="H270" s="42"/>
      <c r="I270" s="41"/>
      <c r="J270" s="42">
        <f>ROUND(SmtRes!AG54/SmtRes!DO54, 2)</f>
        <v>490.55</v>
      </c>
      <c r="K270" s="41"/>
      <c r="L270" s="42">
        <f>SmtRes!DH54</f>
        <v>29.43</v>
      </c>
      <c r="CE270">
        <v>1</v>
      </c>
    </row>
    <row r="271" spans="1:83" ht="15" x14ac:dyDescent="0.2">
      <c r="A271" s="37"/>
      <c r="B271" s="40">
        <v>4</v>
      </c>
      <c r="C271" s="37" t="s">
        <v>449</v>
      </c>
      <c r="D271" s="39"/>
      <c r="E271" s="44"/>
      <c r="F271" s="40"/>
      <c r="G271" s="44"/>
      <c r="H271" s="40"/>
      <c r="I271" s="40"/>
      <c r="J271" s="40"/>
      <c r="K271" s="40"/>
      <c r="L271" s="45">
        <f>SUM(L272:L275)-SUMIF(CE272:CE275, 1, L272:L275)</f>
        <v>7379.73</v>
      </c>
    </row>
    <row r="272" spans="1:83" ht="14.25" x14ac:dyDescent="0.2">
      <c r="A272" s="38"/>
      <c r="B272" s="38" t="s">
        <v>352</v>
      </c>
      <c r="C272" s="38" t="s">
        <v>354</v>
      </c>
      <c r="D272" s="39" t="s">
        <v>338</v>
      </c>
      <c r="E272" s="40">
        <v>8.0000000000000004E-4</v>
      </c>
      <c r="F272" s="40"/>
      <c r="G272" s="40">
        <f>SmtRes!CX55</f>
        <v>4.7999999999999996E-3</v>
      </c>
      <c r="H272" s="42">
        <f>SmtRes!CZ55</f>
        <v>116448.72</v>
      </c>
      <c r="I272" s="41">
        <f>SmtRes!AI55</f>
        <v>1.1599999999999999</v>
      </c>
      <c r="J272" s="42">
        <f>ROUND(H272*I272, 2)</f>
        <v>135080.51999999999</v>
      </c>
      <c r="K272" s="41"/>
      <c r="L272" s="42">
        <f>SmtRes!DF55</f>
        <v>648.39</v>
      </c>
    </row>
    <row r="273" spans="1:83" ht="14.25" x14ac:dyDescent="0.2">
      <c r="A273" s="38"/>
      <c r="B273" s="38" t="s">
        <v>355</v>
      </c>
      <c r="C273" s="38" t="s">
        <v>357</v>
      </c>
      <c r="D273" s="39" t="s">
        <v>338</v>
      </c>
      <c r="E273" s="40">
        <v>2.0000000000000002E-5</v>
      </c>
      <c r="F273" s="40"/>
      <c r="G273" s="40">
        <f>SmtRes!CX56</f>
        <v>1.2E-4</v>
      </c>
      <c r="H273" s="42">
        <f>SmtRes!CZ56</f>
        <v>81827.199999999997</v>
      </c>
      <c r="I273" s="41">
        <f>SmtRes!AI56</f>
        <v>1.77</v>
      </c>
      <c r="J273" s="42">
        <f>ROUND(H273*I273, 2)</f>
        <v>144834.14000000001</v>
      </c>
      <c r="K273" s="41"/>
      <c r="L273" s="42">
        <f>SmtRes!DF56</f>
        <v>17.38</v>
      </c>
    </row>
    <row r="274" spans="1:83" ht="42.75" x14ac:dyDescent="0.2">
      <c r="A274" s="38"/>
      <c r="B274" s="38" t="s">
        <v>331</v>
      </c>
      <c r="C274" s="38" t="s">
        <v>333</v>
      </c>
      <c r="D274" s="39" t="s">
        <v>334</v>
      </c>
      <c r="E274" s="40">
        <v>2.4E-2</v>
      </c>
      <c r="F274" s="40"/>
      <c r="G274" s="40">
        <f>SmtRes!CX57</f>
        <v>0.14399999999999999</v>
      </c>
      <c r="H274" s="42">
        <f>SmtRes!CZ57</f>
        <v>37.71</v>
      </c>
      <c r="I274" s="41">
        <f>SmtRes!AI57</f>
        <v>1.53</v>
      </c>
      <c r="J274" s="42">
        <f>ROUND(H274*I274, 2)</f>
        <v>57.7</v>
      </c>
      <c r="K274" s="41"/>
      <c r="L274" s="42">
        <f>SmtRes!DF57</f>
        <v>8.31</v>
      </c>
    </row>
    <row r="275" spans="1:83" ht="14.25" x14ac:dyDescent="0.2">
      <c r="A275" s="38"/>
      <c r="B275" s="38" t="s">
        <v>358</v>
      </c>
      <c r="C275" s="46" t="s">
        <v>360</v>
      </c>
      <c r="D275" s="47" t="s">
        <v>185</v>
      </c>
      <c r="E275" s="48">
        <v>3.1E-2</v>
      </c>
      <c r="F275" s="48"/>
      <c r="G275" s="48">
        <f>SmtRes!CX58</f>
        <v>0.186</v>
      </c>
      <c r="H275" s="49">
        <f>SmtRes!CZ58</f>
        <v>28612.6</v>
      </c>
      <c r="I275" s="50">
        <f>SmtRes!AI58</f>
        <v>1.26</v>
      </c>
      <c r="J275" s="49">
        <f>ROUND(H275*I275, 2)</f>
        <v>36051.879999999997</v>
      </c>
      <c r="K275" s="50"/>
      <c r="L275" s="49">
        <f>SmtRes!DF58</f>
        <v>6705.65</v>
      </c>
    </row>
    <row r="276" spans="1:83" ht="15" x14ac:dyDescent="0.2">
      <c r="A276" s="38"/>
      <c r="B276" s="38"/>
      <c r="C276" s="53" t="s">
        <v>433</v>
      </c>
      <c r="D276" s="39"/>
      <c r="E276" s="40"/>
      <c r="F276" s="40"/>
      <c r="G276" s="40"/>
      <c r="H276" s="42"/>
      <c r="I276" s="41"/>
      <c r="J276" s="42"/>
      <c r="K276" s="41"/>
      <c r="L276" s="42">
        <f>L263+L265+L266+L271</f>
        <v>39802.9</v>
      </c>
    </row>
    <row r="277" spans="1:83" ht="14.25" x14ac:dyDescent="0.2">
      <c r="A277" s="38"/>
      <c r="B277" s="38"/>
      <c r="C277" s="38" t="s">
        <v>434</v>
      </c>
      <c r="D277" s="39"/>
      <c r="E277" s="40"/>
      <c r="F277" s="40"/>
      <c r="G277" s="40"/>
      <c r="H277" s="42"/>
      <c r="I277" s="41"/>
      <c r="J277" s="42"/>
      <c r="K277" s="41"/>
      <c r="L277" s="42">
        <f>SUM(AR262:AR280)+SUM(AS262:AS280)+SUM(AT262:AT280)+SUM(AU262:AU280)+SUM(AV262:AV280)</f>
        <v>32295.4</v>
      </c>
    </row>
    <row r="278" spans="1:83" ht="28.5" x14ac:dyDescent="0.2">
      <c r="A278" s="38"/>
      <c r="B278" s="38" t="s">
        <v>132</v>
      </c>
      <c r="C278" s="38" t="s">
        <v>481</v>
      </c>
      <c r="D278" s="39" t="s">
        <v>350</v>
      </c>
      <c r="E278" s="40">
        <f>Source!BZ143</f>
        <v>97</v>
      </c>
      <c r="F278" s="40"/>
      <c r="G278" s="40">
        <f>Source!AT143</f>
        <v>97</v>
      </c>
      <c r="H278" s="42"/>
      <c r="I278" s="41"/>
      <c r="J278" s="42"/>
      <c r="K278" s="41"/>
      <c r="L278" s="42">
        <f>SUM(AZ262:AZ280)</f>
        <v>31326.54</v>
      </c>
    </row>
    <row r="279" spans="1:83" ht="28.5" x14ac:dyDescent="0.2">
      <c r="A279" s="46"/>
      <c r="B279" s="46" t="s">
        <v>133</v>
      </c>
      <c r="C279" s="46" t="s">
        <v>482</v>
      </c>
      <c r="D279" s="47" t="s">
        <v>350</v>
      </c>
      <c r="E279" s="48">
        <f>Source!CA143</f>
        <v>51</v>
      </c>
      <c r="F279" s="48"/>
      <c r="G279" s="48">
        <f>Source!AU143</f>
        <v>51</v>
      </c>
      <c r="H279" s="49"/>
      <c r="I279" s="50"/>
      <c r="J279" s="49"/>
      <c r="K279" s="50"/>
      <c r="L279" s="49">
        <f>SUM(BA262:BA280)</f>
        <v>16470.650000000001</v>
      </c>
    </row>
    <row r="280" spans="1:83" ht="15" x14ac:dyDescent="0.2">
      <c r="C280" s="89" t="s">
        <v>437</v>
      </c>
      <c r="D280" s="89"/>
      <c r="E280" s="89"/>
      <c r="F280" s="89"/>
      <c r="G280" s="89"/>
      <c r="H280" s="89"/>
      <c r="I280" s="90">
        <f>K280/E262</f>
        <v>14600.014999999999</v>
      </c>
      <c r="J280" s="90"/>
      <c r="K280" s="90">
        <f>L263+L265+L271+L278+L279+L266</f>
        <v>87600.09</v>
      </c>
      <c r="L280" s="90"/>
      <c r="AD280">
        <f>ROUND((Source!AT143/100)*((ROUND(SUMIF(SmtRes!AQ51:'SmtRes'!AQ59,"=1",SmtRes!AD51:'SmtRes'!AD59)*Source!I143, 2)+ROUND(SUMIF(SmtRes!AQ51:'SmtRes'!AQ59,"=1",SmtRes!AC51:'SmtRes'!AC59)*Source!I143, 2))), 2)</f>
        <v>9481.07</v>
      </c>
      <c r="AE280">
        <f>ROUND((Source!AU143/100)*((ROUND(SUMIF(SmtRes!AQ51:'SmtRes'!AQ59,"=1",SmtRes!AD51:'SmtRes'!AD59)*Source!I143, 2)+ROUND(SUMIF(SmtRes!AQ51:'SmtRes'!AQ59,"=1",SmtRes!AC51:'SmtRes'!AC59)*Source!I143, 2))), 2)</f>
        <v>4984.8900000000003</v>
      </c>
      <c r="AN280" s="51">
        <f>L263+L265+L271+L278+L279+L266</f>
        <v>87600.09</v>
      </c>
      <c r="AO280" s="51">
        <f>L265</f>
        <v>127.76999999999998</v>
      </c>
      <c r="AQ280" t="s">
        <v>438</v>
      </c>
      <c r="AR280" s="51">
        <f>L263</f>
        <v>32226.43</v>
      </c>
      <c r="AT280" s="51">
        <f>L266</f>
        <v>68.97</v>
      </c>
      <c r="AV280" t="s">
        <v>438</v>
      </c>
      <c r="AW280" s="51">
        <f>L271</f>
        <v>7379.73</v>
      </c>
      <c r="AZ280">
        <f>Source!X143</f>
        <v>31326.54</v>
      </c>
      <c r="BA280">
        <f>Source!Y143</f>
        <v>16470.650000000001</v>
      </c>
      <c r="CD280">
        <v>2</v>
      </c>
    </row>
    <row r="281" spans="1:83" ht="57" x14ac:dyDescent="0.2">
      <c r="A281" s="36" t="s">
        <v>149</v>
      </c>
      <c r="B281" s="38" t="s">
        <v>487</v>
      </c>
      <c r="C281" s="38" t="str">
        <f>Source!G144</f>
        <v>Покрытие кабеля, проложенного в траншее, плитами из полимернаполненных материалов в один ряд, расположенными вдоль кабельной линии: размером 48х48 см</v>
      </c>
      <c r="D281" s="39" t="str">
        <f>Source!H144</f>
        <v>100 м</v>
      </c>
      <c r="E281" s="40">
        <f>Source!K144</f>
        <v>13.2</v>
      </c>
      <c r="F281" s="40"/>
      <c r="G281" s="40">
        <f>Source!I144</f>
        <v>13.2</v>
      </c>
      <c r="H281" s="42"/>
      <c r="I281" s="41"/>
      <c r="J281" s="42"/>
      <c r="K281" s="41"/>
      <c r="L281" s="42"/>
    </row>
    <row r="282" spans="1:83" x14ac:dyDescent="0.2">
      <c r="C282" s="56" t="str">
        <f>"Объем: "&amp;Source!I144&amp;"=1320/"&amp;"100"</f>
        <v>Объем: 13,2=1320/100</v>
      </c>
    </row>
    <row r="283" spans="1:83" ht="15" x14ac:dyDescent="0.2">
      <c r="A283" s="37"/>
      <c r="B283" s="40">
        <v>1</v>
      </c>
      <c r="C283" s="37" t="s">
        <v>432</v>
      </c>
      <c r="D283" s="39" t="s">
        <v>296</v>
      </c>
      <c r="E283" s="44"/>
      <c r="F283" s="40"/>
      <c r="G283" s="44">
        <f>Source!U144</f>
        <v>61.512</v>
      </c>
      <c r="H283" s="40"/>
      <c r="I283" s="40"/>
      <c r="J283" s="40"/>
      <c r="K283" s="40"/>
      <c r="L283" s="45">
        <f>SUM(L284:L284)-SUMIF(CE284:CE284, 1, L284:L284)</f>
        <v>25220.54</v>
      </c>
    </row>
    <row r="284" spans="1:83" ht="14.25" x14ac:dyDescent="0.2">
      <c r="A284" s="38"/>
      <c r="B284" s="38" t="s">
        <v>361</v>
      </c>
      <c r="C284" s="38" t="s">
        <v>362</v>
      </c>
      <c r="D284" s="39" t="s">
        <v>296</v>
      </c>
      <c r="E284" s="40">
        <v>4.66</v>
      </c>
      <c r="F284" s="40"/>
      <c r="G284" s="40">
        <f>SmtRes!CX60</f>
        <v>61.512</v>
      </c>
      <c r="H284" s="42"/>
      <c r="I284" s="41"/>
      <c r="J284" s="42">
        <f>SmtRes!CZ60</f>
        <v>410.01</v>
      </c>
      <c r="K284" s="41"/>
      <c r="L284" s="42">
        <f>SmtRes!DI60</f>
        <v>25220.54</v>
      </c>
    </row>
    <row r="285" spans="1:83" ht="15" x14ac:dyDescent="0.2">
      <c r="A285" s="37"/>
      <c r="B285" s="40">
        <v>2</v>
      </c>
      <c r="C285" s="37" t="s">
        <v>446</v>
      </c>
      <c r="D285" s="39"/>
      <c r="E285" s="44"/>
      <c r="F285" s="40"/>
      <c r="G285" s="44"/>
      <c r="H285" s="40"/>
      <c r="I285" s="40"/>
      <c r="J285" s="40"/>
      <c r="K285" s="40"/>
      <c r="L285" s="45">
        <f>SUM(L286:L288)-SUMIF(CE286:CE288, 1, L286:L288)</f>
        <v>5114.3099999999995</v>
      </c>
    </row>
    <row r="286" spans="1:83" ht="15" x14ac:dyDescent="0.2">
      <c r="A286" s="37"/>
      <c r="B286" s="40"/>
      <c r="C286" s="37" t="s">
        <v>448</v>
      </c>
      <c r="D286" s="39" t="s">
        <v>296</v>
      </c>
      <c r="E286" s="44"/>
      <c r="F286" s="40"/>
      <c r="G286" s="44">
        <f>Source!V144</f>
        <v>8.8439999999999994</v>
      </c>
      <c r="H286" s="40"/>
      <c r="I286" s="40"/>
      <c r="J286" s="40"/>
      <c r="K286" s="40"/>
      <c r="L286" s="45">
        <f>SUMIF(CE287:CE288, 1, L287:L288)</f>
        <v>4338.42</v>
      </c>
      <c r="CE286">
        <v>1</v>
      </c>
    </row>
    <row r="287" spans="1:83" ht="14.25" x14ac:dyDescent="0.2">
      <c r="A287" s="38"/>
      <c r="B287" s="38" t="s">
        <v>328</v>
      </c>
      <c r="C287" s="38" t="s">
        <v>330</v>
      </c>
      <c r="D287" s="39" t="s">
        <v>311</v>
      </c>
      <c r="E287" s="40">
        <v>0.67</v>
      </c>
      <c r="F287" s="40"/>
      <c r="G287" s="40">
        <f>SmtRes!CX62</f>
        <v>8.8439999999999994</v>
      </c>
      <c r="H287" s="42">
        <f>SmtRes!CZ62</f>
        <v>477.92</v>
      </c>
      <c r="I287" s="41">
        <f>SmtRes!AJ62</f>
        <v>1.21</v>
      </c>
      <c r="J287" s="42">
        <f>ROUND(H287*I287, 2)</f>
        <v>578.28</v>
      </c>
      <c r="K287" s="41"/>
      <c r="L287" s="42">
        <f>SmtRes!DG62</f>
        <v>5114.3100000000004</v>
      </c>
    </row>
    <row r="288" spans="1:83" ht="14.25" x14ac:dyDescent="0.2">
      <c r="A288" s="38"/>
      <c r="B288" s="38" t="s">
        <v>312</v>
      </c>
      <c r="C288" s="38" t="s">
        <v>447</v>
      </c>
      <c r="D288" s="39" t="s">
        <v>296</v>
      </c>
      <c r="E288" s="40">
        <f>SmtRes!DO62*SmtRes!AT62</f>
        <v>0.67</v>
      </c>
      <c r="F288" s="40"/>
      <c r="G288" s="40">
        <f>SmtRes!DO62*SmtRes!CX62</f>
        <v>8.8439999999999994</v>
      </c>
      <c r="H288" s="42"/>
      <c r="I288" s="41"/>
      <c r="J288" s="42">
        <f>ROUND(SmtRes!AG62/SmtRes!DO62, 2)</f>
        <v>490.55</v>
      </c>
      <c r="K288" s="41"/>
      <c r="L288" s="42">
        <f>SmtRes!DH62</f>
        <v>4338.42</v>
      </c>
      <c r="CE288">
        <v>1</v>
      </c>
    </row>
    <row r="289" spans="1:82" ht="15" x14ac:dyDescent="0.2">
      <c r="A289" s="37"/>
      <c r="B289" s="40">
        <v>4</v>
      </c>
      <c r="C289" s="60" t="s">
        <v>449</v>
      </c>
      <c r="D289" s="47"/>
      <c r="E289" s="61"/>
      <c r="F289" s="48"/>
      <c r="G289" s="61"/>
      <c r="H289" s="48"/>
      <c r="I289" s="48"/>
      <c r="J289" s="48"/>
      <c r="K289" s="48"/>
      <c r="L289" s="62">
        <f>0</f>
        <v>0</v>
      </c>
    </row>
    <row r="290" spans="1:82" ht="15" x14ac:dyDescent="0.2">
      <c r="A290" s="38"/>
      <c r="B290" s="38"/>
      <c r="C290" s="53" t="s">
        <v>433</v>
      </c>
      <c r="D290" s="39"/>
      <c r="E290" s="40"/>
      <c r="F290" s="40"/>
      <c r="G290" s="40"/>
      <c r="H290" s="42"/>
      <c r="I290" s="41"/>
      <c r="J290" s="42"/>
      <c r="K290" s="41"/>
      <c r="L290" s="42">
        <f>L283+L285+L286+L289</f>
        <v>34673.269999999997</v>
      </c>
    </row>
    <row r="291" spans="1:82" ht="14.25" x14ac:dyDescent="0.2">
      <c r="A291" s="38"/>
      <c r="B291" s="38"/>
      <c r="C291" s="38" t="s">
        <v>434</v>
      </c>
      <c r="D291" s="39"/>
      <c r="E291" s="40"/>
      <c r="F291" s="40"/>
      <c r="G291" s="40"/>
      <c r="H291" s="42"/>
      <c r="I291" s="41"/>
      <c r="J291" s="42"/>
      <c r="K291" s="41"/>
      <c r="L291" s="42">
        <f>SUM(AR281:AR294)+SUM(AS281:AS294)+SUM(AT281:AT294)+SUM(AU281:AU294)+SUM(AV281:AV294)</f>
        <v>29558.959999999999</v>
      </c>
    </row>
    <row r="292" spans="1:82" ht="28.5" x14ac:dyDescent="0.2">
      <c r="A292" s="38"/>
      <c r="B292" s="38" t="s">
        <v>132</v>
      </c>
      <c r="C292" s="38" t="s">
        <v>481</v>
      </c>
      <c r="D292" s="39" t="s">
        <v>350</v>
      </c>
      <c r="E292" s="40">
        <f>Source!BZ144</f>
        <v>97</v>
      </c>
      <c r="F292" s="40"/>
      <c r="G292" s="40">
        <f>Source!AT144</f>
        <v>97</v>
      </c>
      <c r="H292" s="42"/>
      <c r="I292" s="41"/>
      <c r="J292" s="42"/>
      <c r="K292" s="41"/>
      <c r="L292" s="42">
        <f>SUM(AZ281:AZ294)</f>
        <v>28672.19</v>
      </c>
    </row>
    <row r="293" spans="1:82" ht="28.5" x14ac:dyDescent="0.2">
      <c r="A293" s="46"/>
      <c r="B293" s="46" t="s">
        <v>133</v>
      </c>
      <c r="C293" s="46" t="s">
        <v>482</v>
      </c>
      <c r="D293" s="47" t="s">
        <v>350</v>
      </c>
      <c r="E293" s="48">
        <f>Source!CA144</f>
        <v>51</v>
      </c>
      <c r="F293" s="48"/>
      <c r="G293" s="48">
        <f>Source!AU144</f>
        <v>51</v>
      </c>
      <c r="H293" s="49"/>
      <c r="I293" s="50"/>
      <c r="J293" s="49"/>
      <c r="K293" s="50"/>
      <c r="L293" s="49">
        <f>SUM(BA281:BA294)</f>
        <v>15075.07</v>
      </c>
    </row>
    <row r="294" spans="1:82" ht="15" x14ac:dyDescent="0.2">
      <c r="C294" s="89" t="s">
        <v>437</v>
      </c>
      <c r="D294" s="89"/>
      <c r="E294" s="89"/>
      <c r="F294" s="89"/>
      <c r="G294" s="89"/>
      <c r="H294" s="89"/>
      <c r="I294" s="90">
        <f>K294/E281</f>
        <v>5940.9492424242417</v>
      </c>
      <c r="J294" s="90"/>
      <c r="K294" s="90">
        <f>L283+L285+L289+L292+L293+L286</f>
        <v>78420.529999999984</v>
      </c>
      <c r="L294" s="90"/>
      <c r="AD294">
        <f>ROUND((Source!AT144/100)*((ROUND(SUMIF(SmtRes!AQ60:'SmtRes'!AQ63,"=1",SmtRes!AD60:'SmtRes'!AD63)*Source!I144, 2)+ROUND(SUMIF(SmtRes!AQ60:'SmtRes'!AQ63,"=1",SmtRes!AC60:'SmtRes'!AC63)*Source!I144, 2))), 2)</f>
        <v>11530.77</v>
      </c>
      <c r="AE294">
        <f>ROUND((Source!AU144/100)*((ROUND(SUMIF(SmtRes!AQ60:'SmtRes'!AQ63,"=1",SmtRes!AD60:'SmtRes'!AD63)*Source!I144, 2)+ROUND(SUMIF(SmtRes!AQ60:'SmtRes'!AQ63,"=1",SmtRes!AC60:'SmtRes'!AC63)*Source!I144, 2))), 2)</f>
        <v>6062.57</v>
      </c>
      <c r="AN294" s="51">
        <f>L283+L285+L289+L292+L293+L286</f>
        <v>78420.529999999984</v>
      </c>
      <c r="AO294" s="51">
        <f>L285</f>
        <v>5114.3099999999995</v>
      </c>
      <c r="AQ294" t="s">
        <v>438</v>
      </c>
      <c r="AR294" s="51">
        <f>L283</f>
        <v>25220.54</v>
      </c>
      <c r="AT294" s="51">
        <f>L286</f>
        <v>4338.42</v>
      </c>
      <c r="AV294" t="s">
        <v>438</v>
      </c>
      <c r="AW294" s="51">
        <f>L289</f>
        <v>0</v>
      </c>
      <c r="AZ294">
        <f>Source!X144</f>
        <v>28672.19</v>
      </c>
      <c r="BA294">
        <f>Source!Y144</f>
        <v>15075.07</v>
      </c>
      <c r="CD294">
        <v>2</v>
      </c>
    </row>
    <row r="295" spans="1:82" ht="28.5" x14ac:dyDescent="0.2">
      <c r="A295" s="36" t="s">
        <v>153</v>
      </c>
      <c r="B295" s="38" t="s">
        <v>488</v>
      </c>
      <c r="C295" s="38" t="str">
        <f>Source!G145</f>
        <v>Указатель месторасположения трассы кабелей, проложенных в земле</v>
      </c>
      <c r="D295" s="39" t="str">
        <f>Source!H145</f>
        <v>ШТ</v>
      </c>
      <c r="E295" s="40">
        <f>Source!K145</f>
        <v>13</v>
      </c>
      <c r="F295" s="40"/>
      <c r="G295" s="40">
        <f>Source!I145</f>
        <v>13</v>
      </c>
      <c r="H295" s="42"/>
      <c r="I295" s="41"/>
      <c r="J295" s="42"/>
      <c r="K295" s="41"/>
      <c r="L295" s="42"/>
    </row>
    <row r="296" spans="1:82" ht="15" x14ac:dyDescent="0.2">
      <c r="A296" s="37"/>
      <c r="B296" s="40">
        <v>1</v>
      </c>
      <c r="C296" s="37" t="s">
        <v>432</v>
      </c>
      <c r="D296" s="39" t="s">
        <v>296</v>
      </c>
      <c r="E296" s="44"/>
      <c r="F296" s="40"/>
      <c r="G296" s="44">
        <f>Source!U145</f>
        <v>6.63</v>
      </c>
      <c r="H296" s="40"/>
      <c r="I296" s="40"/>
      <c r="J296" s="40"/>
      <c r="K296" s="40"/>
      <c r="L296" s="45">
        <f>SUM(L297:L297)-SUMIF(CE297:CE297, 1, L297:L297)</f>
        <v>3179.48</v>
      </c>
    </row>
    <row r="297" spans="1:82" ht="14.25" x14ac:dyDescent="0.2">
      <c r="A297" s="38"/>
      <c r="B297" s="38" t="s">
        <v>316</v>
      </c>
      <c r="C297" s="38" t="s">
        <v>317</v>
      </c>
      <c r="D297" s="39" t="s">
        <v>296</v>
      </c>
      <c r="E297" s="40">
        <v>0.51</v>
      </c>
      <c r="F297" s="40"/>
      <c r="G297" s="40">
        <f>SmtRes!CX64</f>
        <v>6.63</v>
      </c>
      <c r="H297" s="42"/>
      <c r="I297" s="41"/>
      <c r="J297" s="42">
        <f>SmtRes!CZ64</f>
        <v>479.56</v>
      </c>
      <c r="K297" s="41"/>
      <c r="L297" s="42">
        <f>SmtRes!DI64</f>
        <v>3179.48</v>
      </c>
    </row>
    <row r="298" spans="1:82" ht="15" x14ac:dyDescent="0.2">
      <c r="A298" s="37"/>
      <c r="B298" s="40">
        <v>4</v>
      </c>
      <c r="C298" s="37" t="s">
        <v>449</v>
      </c>
      <c r="D298" s="39"/>
      <c r="E298" s="44"/>
      <c r="F298" s="40"/>
      <c r="G298" s="44"/>
      <c r="H298" s="40"/>
      <c r="I298" s="40"/>
      <c r="J298" s="40"/>
      <c r="K298" s="40"/>
      <c r="L298" s="45">
        <f>SUM(L299:L301)-SUMIF(CE299:CE301, 1, L299:L301)</f>
        <v>6103.63</v>
      </c>
    </row>
    <row r="299" spans="1:82" ht="28.5" x14ac:dyDescent="0.2">
      <c r="A299" s="38"/>
      <c r="B299" s="38" t="s">
        <v>363</v>
      </c>
      <c r="C299" s="38" t="s">
        <v>365</v>
      </c>
      <c r="D299" s="39" t="s">
        <v>338</v>
      </c>
      <c r="E299" s="40">
        <v>1.06E-3</v>
      </c>
      <c r="F299" s="40"/>
      <c r="G299" s="40">
        <f>SmtRes!CX65</f>
        <v>1.3780000000000001E-2</v>
      </c>
      <c r="H299" s="42">
        <f>SmtRes!CZ65</f>
        <v>71131.5</v>
      </c>
      <c r="I299" s="41">
        <f>SmtRes!AI65</f>
        <v>0.86</v>
      </c>
      <c r="J299" s="42">
        <f>ROUND(H299*I299, 2)</f>
        <v>61173.09</v>
      </c>
      <c r="K299" s="41"/>
      <c r="L299" s="42">
        <f>SmtRes!DF65</f>
        <v>842.97</v>
      </c>
    </row>
    <row r="300" spans="1:82" ht="42.75" x14ac:dyDescent="0.2">
      <c r="A300" s="38"/>
      <c r="B300" s="38" t="s">
        <v>339</v>
      </c>
      <c r="C300" s="38" t="s">
        <v>341</v>
      </c>
      <c r="D300" s="39" t="s">
        <v>338</v>
      </c>
      <c r="E300" s="40">
        <v>5.0899999999999999E-3</v>
      </c>
      <c r="F300" s="40"/>
      <c r="G300" s="40">
        <f>SmtRes!CX66</f>
        <v>6.6170000000000007E-2</v>
      </c>
      <c r="H300" s="42"/>
      <c r="I300" s="41"/>
      <c r="J300" s="42">
        <f>SmtRes!CZ66</f>
        <v>55303.81</v>
      </c>
      <c r="K300" s="41"/>
      <c r="L300" s="42">
        <f>SmtRes!DF66</f>
        <v>3659.45</v>
      </c>
    </row>
    <row r="301" spans="1:82" ht="28.5" x14ac:dyDescent="0.2">
      <c r="A301" s="38"/>
      <c r="B301" s="38" t="s">
        <v>366</v>
      </c>
      <c r="C301" s="46" t="s">
        <v>368</v>
      </c>
      <c r="D301" s="47" t="s">
        <v>338</v>
      </c>
      <c r="E301" s="48">
        <v>2.0000000000000001E-4</v>
      </c>
      <c r="F301" s="48"/>
      <c r="G301" s="48">
        <f>SmtRes!CX67</f>
        <v>2.5999999999999999E-3</v>
      </c>
      <c r="H301" s="49">
        <f>SmtRes!CZ67</f>
        <v>360146.05</v>
      </c>
      <c r="I301" s="50">
        <f>SmtRes!AI67</f>
        <v>1.71</v>
      </c>
      <c r="J301" s="49">
        <f>ROUND(H301*I301, 2)</f>
        <v>615849.75</v>
      </c>
      <c r="K301" s="50"/>
      <c r="L301" s="49">
        <f>SmtRes!DF67</f>
        <v>1601.21</v>
      </c>
    </row>
    <row r="302" spans="1:82" ht="15" x14ac:dyDescent="0.2">
      <c r="A302" s="38"/>
      <c r="B302" s="38"/>
      <c r="C302" s="53" t="s">
        <v>433</v>
      </c>
      <c r="D302" s="39"/>
      <c r="E302" s="40"/>
      <c r="F302" s="40"/>
      <c r="G302" s="40"/>
      <c r="H302" s="42"/>
      <c r="I302" s="41"/>
      <c r="J302" s="42"/>
      <c r="K302" s="41"/>
      <c r="L302" s="42">
        <f>L296+L298</f>
        <v>9283.11</v>
      </c>
    </row>
    <row r="303" spans="1:82" ht="14.25" x14ac:dyDescent="0.2">
      <c r="A303" s="38"/>
      <c r="B303" s="38"/>
      <c r="C303" s="38" t="s">
        <v>434</v>
      </c>
      <c r="D303" s="39"/>
      <c r="E303" s="40"/>
      <c r="F303" s="40"/>
      <c r="G303" s="40"/>
      <c r="H303" s="42"/>
      <c r="I303" s="41"/>
      <c r="J303" s="42"/>
      <c r="K303" s="41"/>
      <c r="L303" s="42">
        <f>SUM(AR295:AR306)+SUM(AS295:AS306)+SUM(AT295:AT306)+SUM(AU295:AU306)+SUM(AV295:AV306)</f>
        <v>3179.48</v>
      </c>
    </row>
    <row r="304" spans="1:82" ht="28.5" x14ac:dyDescent="0.2">
      <c r="A304" s="38"/>
      <c r="B304" s="38" t="s">
        <v>132</v>
      </c>
      <c r="C304" s="38" t="s">
        <v>481</v>
      </c>
      <c r="D304" s="39" t="s">
        <v>350</v>
      </c>
      <c r="E304" s="40">
        <f>Source!BZ145</f>
        <v>97</v>
      </c>
      <c r="F304" s="40"/>
      <c r="G304" s="40">
        <f>Source!AT145</f>
        <v>97</v>
      </c>
      <c r="H304" s="42"/>
      <c r="I304" s="41"/>
      <c r="J304" s="42"/>
      <c r="K304" s="41"/>
      <c r="L304" s="42">
        <f>SUM(AZ295:AZ306)</f>
        <v>3084.1</v>
      </c>
    </row>
    <row r="305" spans="1:82" ht="28.5" x14ac:dyDescent="0.2">
      <c r="A305" s="46"/>
      <c r="B305" s="46" t="s">
        <v>133</v>
      </c>
      <c r="C305" s="46" t="s">
        <v>482</v>
      </c>
      <c r="D305" s="47" t="s">
        <v>350</v>
      </c>
      <c r="E305" s="48">
        <f>Source!CA145</f>
        <v>51</v>
      </c>
      <c r="F305" s="48"/>
      <c r="G305" s="48">
        <f>Source!AU145</f>
        <v>51</v>
      </c>
      <c r="H305" s="49"/>
      <c r="I305" s="50"/>
      <c r="J305" s="49"/>
      <c r="K305" s="50"/>
      <c r="L305" s="49">
        <f>SUM(BA295:BA306)</f>
        <v>1621.53</v>
      </c>
    </row>
    <row r="306" spans="1:82" ht="15" x14ac:dyDescent="0.2">
      <c r="C306" s="89" t="s">
        <v>437</v>
      </c>
      <c r="D306" s="89"/>
      <c r="E306" s="89"/>
      <c r="F306" s="89"/>
      <c r="G306" s="89"/>
      <c r="H306" s="89"/>
      <c r="I306" s="90">
        <f>K306/E295</f>
        <v>1076.0569230769231</v>
      </c>
      <c r="J306" s="90"/>
      <c r="K306" s="90">
        <f>L296+L298+L304+L305</f>
        <v>13988.740000000002</v>
      </c>
      <c r="L306" s="90"/>
      <c r="AD306">
        <f>ROUND((Source!AT145/100)*((ROUND(SUMIF(SmtRes!AQ64:'SmtRes'!AQ67,"=1",SmtRes!AD64:'SmtRes'!AD67)*Source!I145, 2)+ROUND(SUMIF(SmtRes!AQ64:'SmtRes'!AQ67,"=1",SmtRes!AC64:'SmtRes'!AC67)*Source!I145, 2))), 2)</f>
        <v>6047.25</v>
      </c>
      <c r="AE306">
        <f>ROUND((Source!AU145/100)*((ROUND(SUMIF(SmtRes!AQ64:'SmtRes'!AQ67,"=1",SmtRes!AD64:'SmtRes'!AD67)*Source!I145, 2)+ROUND(SUMIF(SmtRes!AQ64:'SmtRes'!AQ67,"=1",SmtRes!AC64:'SmtRes'!AC67)*Source!I145, 2))), 2)</f>
        <v>3179.48</v>
      </c>
      <c r="AN306" s="51">
        <f>L296+L298+L304+L305</f>
        <v>13988.740000000002</v>
      </c>
      <c r="AO306">
        <f>0</f>
        <v>0</v>
      </c>
      <c r="AQ306" t="s">
        <v>438</v>
      </c>
      <c r="AR306" s="51">
        <f>L296</f>
        <v>3179.48</v>
      </c>
      <c r="AT306">
        <f>0</f>
        <v>0</v>
      </c>
      <c r="AV306" t="s">
        <v>438</v>
      </c>
      <c r="AW306" s="51">
        <f>L298</f>
        <v>6103.63</v>
      </c>
      <c r="AZ306">
        <f>Source!X145</f>
        <v>3084.1</v>
      </c>
      <c r="BA306">
        <f>Source!Y145</f>
        <v>1621.53</v>
      </c>
      <c r="CD306">
        <v>2</v>
      </c>
    </row>
    <row r="308" spans="1:82" ht="15" x14ac:dyDescent="0.2">
      <c r="A308" s="57"/>
      <c r="B308" s="58"/>
      <c r="C308" s="87" t="s">
        <v>451</v>
      </c>
      <c r="D308" s="87"/>
      <c r="E308" s="87"/>
      <c r="F308" s="87"/>
      <c r="G308" s="87"/>
      <c r="H308" s="87"/>
      <c r="I308" s="45"/>
      <c r="J308" s="57"/>
      <c r="K308" s="59"/>
      <c r="L308" s="45">
        <f>L310+L311+L317+L321</f>
        <v>540533.14</v>
      </c>
    </row>
    <row r="309" spans="1:82" ht="14.25" x14ac:dyDescent="0.2">
      <c r="A309" s="54"/>
      <c r="B309" s="56"/>
      <c r="C309" s="86" t="s">
        <v>452</v>
      </c>
      <c r="D309" s="83"/>
      <c r="E309" s="83"/>
      <c r="F309" s="83"/>
      <c r="G309" s="83"/>
      <c r="H309" s="83"/>
      <c r="I309" s="42"/>
      <c r="J309" s="54"/>
      <c r="K309" s="40"/>
      <c r="L309" s="42"/>
    </row>
    <row r="310" spans="1:82" ht="14.25" x14ac:dyDescent="0.2">
      <c r="A310" s="54"/>
      <c r="B310" s="56"/>
      <c r="C310" s="83" t="s">
        <v>453</v>
      </c>
      <c r="D310" s="83"/>
      <c r="E310" s="83"/>
      <c r="F310" s="83"/>
      <c r="G310" s="83"/>
      <c r="H310" s="83"/>
      <c r="I310" s="42"/>
      <c r="J310" s="54"/>
      <c r="K310" s="40"/>
      <c r="L310" s="42">
        <f>SUM(AR211:AR306)</f>
        <v>327570.64999999997</v>
      </c>
    </row>
    <row r="311" spans="1:82" ht="14.25" hidden="1" x14ac:dyDescent="0.2">
      <c r="A311" s="54"/>
      <c r="B311" s="56"/>
      <c r="C311" s="83" t="s">
        <v>454</v>
      </c>
      <c r="D311" s="83"/>
      <c r="E311" s="83"/>
      <c r="F311" s="83"/>
      <c r="G311" s="83"/>
      <c r="H311" s="83"/>
      <c r="I311" s="42"/>
      <c r="J311" s="54"/>
      <c r="K311" s="40"/>
      <c r="L311" s="42">
        <f>L313+L316+L315</f>
        <v>182248.81</v>
      </c>
    </row>
    <row r="312" spans="1:82" ht="14.25" hidden="1" x14ac:dyDescent="0.2">
      <c r="A312" s="54"/>
      <c r="B312" s="56"/>
      <c r="C312" s="86" t="s">
        <v>455</v>
      </c>
      <c r="D312" s="83"/>
      <c r="E312" s="83"/>
      <c r="F312" s="83"/>
      <c r="G312" s="83"/>
      <c r="H312" s="83"/>
      <c r="I312" s="42"/>
      <c r="J312" s="54"/>
      <c r="K312" s="40"/>
      <c r="L312" s="42"/>
    </row>
    <row r="313" spans="1:82" ht="14.25" x14ac:dyDescent="0.2">
      <c r="A313" s="54"/>
      <c r="B313" s="56"/>
      <c r="C313" s="83" t="s">
        <v>454</v>
      </c>
      <c r="D313" s="83"/>
      <c r="E313" s="83"/>
      <c r="F313" s="83"/>
      <c r="G313" s="83"/>
      <c r="H313" s="83"/>
      <c r="I313" s="42"/>
      <c r="J313" s="54"/>
      <c r="K313" s="40"/>
      <c r="L313" s="42">
        <f>SUM(AO211:AO306)</f>
        <v>112012.46</v>
      </c>
    </row>
    <row r="314" spans="1:82" ht="14.25" hidden="1" x14ac:dyDescent="0.2">
      <c r="A314" s="54"/>
      <c r="B314" s="56"/>
      <c r="C314" s="86" t="s">
        <v>456</v>
      </c>
      <c r="D314" s="83"/>
      <c r="E314" s="83"/>
      <c r="F314" s="83"/>
      <c r="G314" s="83"/>
      <c r="H314" s="83"/>
      <c r="I314" s="42"/>
      <c r="J314" s="54"/>
      <c r="K314" s="40"/>
      <c r="L314" s="42"/>
    </row>
    <row r="315" spans="1:82" ht="14.25" x14ac:dyDescent="0.2">
      <c r="A315" s="54"/>
      <c r="B315" s="56"/>
      <c r="C315" s="83" t="s">
        <v>476</v>
      </c>
      <c r="D315" s="83"/>
      <c r="E315" s="83"/>
      <c r="F315" s="83"/>
      <c r="G315" s="83"/>
      <c r="H315" s="83"/>
      <c r="I315" s="42"/>
      <c r="J315" s="54"/>
      <c r="K315" s="40"/>
      <c r="L315" s="42">
        <f>SUM(AT211:AT306)</f>
        <v>70236.349999999991</v>
      </c>
    </row>
    <row r="316" spans="1:82" ht="14.25" hidden="1" x14ac:dyDescent="0.2">
      <c r="A316" s="54"/>
      <c r="B316" s="56"/>
      <c r="C316" s="83" t="s">
        <v>457</v>
      </c>
      <c r="D316" s="83"/>
      <c r="E316" s="83"/>
      <c r="F316" s="83"/>
      <c r="G316" s="83"/>
      <c r="H316" s="83"/>
      <c r="I316" s="42"/>
      <c r="J316" s="54"/>
      <c r="K316" s="40"/>
      <c r="L316" s="42">
        <f>SUM(AV211:AV306)</f>
        <v>0</v>
      </c>
    </row>
    <row r="317" spans="1:82" ht="14.25" x14ac:dyDescent="0.2">
      <c r="A317" s="54"/>
      <c r="B317" s="56"/>
      <c r="C317" s="83" t="s">
        <v>458</v>
      </c>
      <c r="D317" s="83"/>
      <c r="E317" s="83"/>
      <c r="F317" s="83"/>
      <c r="G317" s="83"/>
      <c r="H317" s="83"/>
      <c r="I317" s="42"/>
      <c r="J317" s="54"/>
      <c r="K317" s="40"/>
      <c r="L317" s="42">
        <f>L319+L320</f>
        <v>30713.68</v>
      </c>
    </row>
    <row r="318" spans="1:82" ht="14.25" x14ac:dyDescent="0.2">
      <c r="A318" s="54"/>
      <c r="B318" s="56"/>
      <c r="C318" s="86" t="s">
        <v>455</v>
      </c>
      <c r="D318" s="83"/>
      <c r="E318" s="83"/>
      <c r="F318" s="83"/>
      <c r="G318" s="83"/>
      <c r="H318" s="83"/>
      <c r="I318" s="42"/>
      <c r="J318" s="54"/>
      <c r="K318" s="40"/>
      <c r="L318" s="42"/>
    </row>
    <row r="319" spans="1:82" ht="14.25" x14ac:dyDescent="0.2">
      <c r="A319" s="54"/>
      <c r="B319" s="56"/>
      <c r="C319" s="83" t="s">
        <v>459</v>
      </c>
      <c r="D319" s="83"/>
      <c r="E319" s="83"/>
      <c r="F319" s="83"/>
      <c r="G319" s="83"/>
      <c r="H319" s="83"/>
      <c r="I319" s="42"/>
      <c r="J319" s="54"/>
      <c r="K319" s="40"/>
      <c r="L319" s="42">
        <f>SUM(AW211:AW306)-SUM(BK211:BK306)</f>
        <v>30713.68</v>
      </c>
    </row>
    <row r="320" spans="1:82" ht="14.25" hidden="1" x14ac:dyDescent="0.2">
      <c r="A320" s="54"/>
      <c r="B320" s="56"/>
      <c r="C320" s="83" t="s">
        <v>460</v>
      </c>
      <c r="D320" s="83"/>
      <c r="E320" s="83"/>
      <c r="F320" s="83"/>
      <c r="G320" s="83"/>
      <c r="H320" s="83"/>
      <c r="I320" s="42"/>
      <c r="J320" s="54"/>
      <c r="K320" s="40"/>
      <c r="L320" s="42">
        <f>SUM(BC211:BC306)</f>
        <v>0</v>
      </c>
    </row>
    <row r="321" spans="1:12" ht="14.25" hidden="1" x14ac:dyDescent="0.2">
      <c r="A321" s="54"/>
      <c r="B321" s="56"/>
      <c r="C321" s="83" t="s">
        <v>461</v>
      </c>
      <c r="D321" s="83"/>
      <c r="E321" s="83"/>
      <c r="F321" s="83"/>
      <c r="G321" s="83"/>
      <c r="H321" s="83"/>
      <c r="I321" s="42"/>
      <c r="J321" s="54"/>
      <c r="K321" s="40"/>
      <c r="L321" s="42">
        <f>SUM(BB211:BB306)</f>
        <v>0</v>
      </c>
    </row>
    <row r="322" spans="1:12" ht="14.25" x14ac:dyDescent="0.2">
      <c r="A322" s="54"/>
      <c r="B322" s="56"/>
      <c r="C322" s="83" t="s">
        <v>462</v>
      </c>
      <c r="D322" s="83"/>
      <c r="E322" s="83"/>
      <c r="F322" s="83"/>
      <c r="G322" s="83"/>
      <c r="H322" s="83"/>
      <c r="I322" s="42"/>
      <c r="J322" s="54"/>
      <c r="K322" s="40"/>
      <c r="L322" s="42">
        <f>SUM(AR211:AR306)+SUM(AT211:AT306)+SUM(AV211:AV306)</f>
        <v>397806.99999999994</v>
      </c>
    </row>
    <row r="323" spans="1:12" ht="14.25" x14ac:dyDescent="0.2">
      <c r="A323" s="54"/>
      <c r="B323" s="56"/>
      <c r="C323" s="83" t="s">
        <v>463</v>
      </c>
      <c r="D323" s="83"/>
      <c r="E323" s="83"/>
      <c r="F323" s="83"/>
      <c r="G323" s="83"/>
      <c r="H323" s="83"/>
      <c r="I323" s="42"/>
      <c r="J323" s="54"/>
      <c r="K323" s="40"/>
      <c r="L323" s="42">
        <f>SUM(AZ211:AZ306)</f>
        <v>385872.79</v>
      </c>
    </row>
    <row r="324" spans="1:12" ht="14.25" x14ac:dyDescent="0.2">
      <c r="A324" s="54"/>
      <c r="B324" s="56"/>
      <c r="C324" s="83" t="s">
        <v>464</v>
      </c>
      <c r="D324" s="83"/>
      <c r="E324" s="83"/>
      <c r="F324" s="83"/>
      <c r="G324" s="83"/>
      <c r="H324" s="83"/>
      <c r="I324" s="42"/>
      <c r="J324" s="54"/>
      <c r="K324" s="40"/>
      <c r="L324" s="42">
        <f>SUM(BA211:BA306)</f>
        <v>202881.56</v>
      </c>
    </row>
    <row r="325" spans="1:12" ht="14.25" hidden="1" x14ac:dyDescent="0.2">
      <c r="A325" s="54"/>
      <c r="B325" s="56"/>
      <c r="C325" s="83" t="s">
        <v>465</v>
      </c>
      <c r="D325" s="83"/>
      <c r="E325" s="83"/>
      <c r="F325" s="83"/>
      <c r="G325" s="83"/>
      <c r="H325" s="83"/>
      <c r="I325" s="42"/>
      <c r="J325" s="54"/>
      <c r="K325" s="40"/>
      <c r="L325" s="42">
        <f>L327+L328</f>
        <v>0</v>
      </c>
    </row>
    <row r="326" spans="1:12" ht="14.25" hidden="1" x14ac:dyDescent="0.2">
      <c r="A326" s="54"/>
      <c r="B326" s="56"/>
      <c r="C326" s="86" t="s">
        <v>452</v>
      </c>
      <c r="D326" s="83"/>
      <c r="E326" s="83"/>
      <c r="F326" s="83"/>
      <c r="G326" s="83"/>
      <c r="H326" s="83"/>
      <c r="I326" s="42"/>
      <c r="J326" s="54"/>
      <c r="K326" s="40"/>
      <c r="L326" s="42"/>
    </row>
    <row r="327" spans="1:12" ht="14.25" hidden="1" x14ac:dyDescent="0.2">
      <c r="A327" s="54"/>
      <c r="B327" s="56"/>
      <c r="C327" s="83" t="s">
        <v>466</v>
      </c>
      <c r="D327" s="83"/>
      <c r="E327" s="83"/>
      <c r="F327" s="83"/>
      <c r="G327" s="83"/>
      <c r="H327" s="83"/>
      <c r="I327" s="42"/>
      <c r="J327" s="54"/>
      <c r="K327" s="40"/>
      <c r="L327" s="42">
        <f>SUM(BK211:BK306)</f>
        <v>0</v>
      </c>
    </row>
    <row r="328" spans="1:12" ht="14.25" hidden="1" x14ac:dyDescent="0.2">
      <c r="A328" s="54"/>
      <c r="B328" s="56"/>
      <c r="C328" s="83" t="s">
        <v>467</v>
      </c>
      <c r="D328" s="83"/>
      <c r="E328" s="83"/>
      <c r="F328" s="83"/>
      <c r="G328" s="83"/>
      <c r="H328" s="83"/>
      <c r="I328" s="42"/>
      <c r="J328" s="54"/>
      <c r="K328" s="40"/>
      <c r="L328" s="42">
        <f>SUM(BD211:BD306)</f>
        <v>0</v>
      </c>
    </row>
    <row r="329" spans="1:12" ht="14.25" hidden="1" x14ac:dyDescent="0.2">
      <c r="A329" s="54"/>
      <c r="B329" s="56"/>
      <c r="C329" s="83" t="s">
        <v>468</v>
      </c>
      <c r="D329" s="83"/>
      <c r="E329" s="83"/>
      <c r="F329" s="83"/>
      <c r="G329" s="83"/>
      <c r="H329" s="83"/>
      <c r="I329" s="42"/>
      <c r="J329" s="54"/>
      <c r="K329" s="40"/>
      <c r="L329" s="42"/>
    </row>
    <row r="330" spans="1:12" ht="14.25" hidden="1" x14ac:dyDescent="0.2">
      <c r="A330" s="54"/>
      <c r="B330" s="56"/>
      <c r="C330" s="83" t="s">
        <v>469</v>
      </c>
      <c r="D330" s="83"/>
      <c r="E330" s="83"/>
      <c r="F330" s="83"/>
      <c r="G330" s="83"/>
      <c r="H330" s="83"/>
      <c r="I330" s="42"/>
      <c r="J330" s="54"/>
      <c r="K330" s="40"/>
      <c r="L330" s="42">
        <f>SUM(BO211:BO306)</f>
        <v>0</v>
      </c>
    </row>
    <row r="331" spans="1:12" ht="15" x14ac:dyDescent="0.2">
      <c r="A331" s="57"/>
      <c r="B331" s="58"/>
      <c r="C331" s="87" t="s">
        <v>470</v>
      </c>
      <c r="D331" s="87"/>
      <c r="E331" s="87"/>
      <c r="F331" s="87"/>
      <c r="G331" s="87"/>
      <c r="H331" s="87"/>
      <c r="I331" s="45"/>
      <c r="J331" s="57"/>
      <c r="K331" s="59"/>
      <c r="L331" s="45">
        <f>L308+L323+L324+L325+L329+L330</f>
        <v>1129287.49</v>
      </c>
    </row>
    <row r="332" spans="1:12" ht="14.25" x14ac:dyDescent="0.2">
      <c r="A332" s="54"/>
      <c r="B332" s="56"/>
      <c r="C332" s="86" t="s">
        <v>471</v>
      </c>
      <c r="D332" s="83"/>
      <c r="E332" s="83"/>
      <c r="F332" s="83"/>
      <c r="G332" s="83"/>
      <c r="H332" s="83"/>
      <c r="I332" s="42"/>
      <c r="J332" s="54"/>
      <c r="K332" s="40"/>
      <c r="L332" s="42"/>
    </row>
    <row r="333" spans="1:12" ht="14.25" hidden="1" x14ac:dyDescent="0.2">
      <c r="A333" s="54"/>
      <c r="B333" s="56"/>
      <c r="C333" s="83" t="s">
        <v>472</v>
      </c>
      <c r="D333" s="83"/>
      <c r="E333" s="83"/>
      <c r="F333" s="83"/>
      <c r="G333" s="83"/>
      <c r="H333" s="83"/>
      <c r="I333" s="42"/>
      <c r="J333" s="54"/>
      <c r="K333" s="40"/>
      <c r="L333" s="42">
        <f>SUM(AX211:AX306)</f>
        <v>0</v>
      </c>
    </row>
    <row r="334" spans="1:12" ht="14.25" hidden="1" x14ac:dyDescent="0.2">
      <c r="A334" s="54"/>
      <c r="B334" s="56"/>
      <c r="C334" s="83" t="s">
        <v>473</v>
      </c>
      <c r="D334" s="83"/>
      <c r="E334" s="83"/>
      <c r="F334" s="83"/>
      <c r="G334" s="83"/>
      <c r="H334" s="83"/>
      <c r="I334" s="42"/>
      <c r="J334" s="54"/>
      <c r="K334" s="40"/>
      <c r="L334" s="42">
        <f>SUM(AY211:AY306)</f>
        <v>0</v>
      </c>
    </row>
    <row r="335" spans="1:12" ht="14.25" x14ac:dyDescent="0.2">
      <c r="A335" s="54"/>
      <c r="B335" s="56"/>
      <c r="C335" s="83" t="s">
        <v>474</v>
      </c>
      <c r="D335" s="83"/>
      <c r="E335" s="83"/>
      <c r="F335" s="84"/>
      <c r="G335" s="44">
        <f>Source!F169</f>
        <v>691.98599999999999</v>
      </c>
      <c r="H335" s="54"/>
      <c r="I335" s="54"/>
      <c r="J335" s="54"/>
      <c r="K335" s="54"/>
      <c r="L335" s="54"/>
    </row>
    <row r="336" spans="1:12" ht="14.25" x14ac:dyDescent="0.2">
      <c r="A336" s="54"/>
      <c r="B336" s="56"/>
      <c r="C336" s="83" t="s">
        <v>475</v>
      </c>
      <c r="D336" s="83"/>
      <c r="E336" s="83"/>
      <c r="F336" s="84"/>
      <c r="G336" s="44">
        <f>Source!F170</f>
        <v>131.196</v>
      </c>
      <c r="H336" s="54"/>
      <c r="I336" s="54"/>
      <c r="J336" s="54"/>
      <c r="K336" s="54"/>
      <c r="L336" s="54"/>
    </row>
    <row r="339" spans="1:82" ht="16.5" x14ac:dyDescent="0.2">
      <c r="A339" s="91" t="s">
        <v>489</v>
      </c>
      <c r="B339" s="91"/>
      <c r="C339" s="91"/>
      <c r="D339" s="91"/>
      <c r="E339" s="91"/>
      <c r="F339" s="91"/>
      <c r="G339" s="91"/>
      <c r="H339" s="91"/>
      <c r="I339" s="91"/>
      <c r="J339" s="91"/>
      <c r="K339" s="91"/>
      <c r="L339" s="91"/>
    </row>
    <row r="340" spans="1:82" ht="28.5" x14ac:dyDescent="0.2">
      <c r="A340" s="36" t="s">
        <v>158</v>
      </c>
      <c r="B340" s="38" t="str">
        <f>Source!F181</f>
        <v>21.1.07.02-0060</v>
      </c>
      <c r="C340" s="38" t="str">
        <f>Source!G181</f>
        <v>Кабель силовой с алюминиевыми жилами АСБл 3х240-10000</v>
      </c>
      <c r="D340" s="39" t="str">
        <f>Source!H181</f>
        <v>1000 м</v>
      </c>
      <c r="E340" s="40">
        <f>Source!K181</f>
        <v>2.6928000000000001</v>
      </c>
      <c r="F340" s="40"/>
      <c r="G340" s="40">
        <f>Source!I181</f>
        <v>2.6928000000000001</v>
      </c>
      <c r="H340" s="42">
        <f>Source!AL181</f>
        <v>1162710.3799999999</v>
      </c>
      <c r="I340" s="41">
        <f>IF(Source!BC181&lt;&gt; 0, Source!BC181, 1)</f>
        <v>1.54</v>
      </c>
      <c r="J340" s="42">
        <f>ROUND(H340*I340, 2)</f>
        <v>1790573.99</v>
      </c>
      <c r="K340" s="41"/>
      <c r="L340" s="42">
        <f>Source!P181</f>
        <v>4821657.6399999997</v>
      </c>
    </row>
    <row r="341" spans="1:82" x14ac:dyDescent="0.2">
      <c r="A341" s="63"/>
      <c r="B341" s="63"/>
      <c r="C341" s="127" t="str">
        <f>"Объем: "&amp;Source!I181&amp;"=2692,8/"&amp;"1000"</f>
        <v>Объем: 2,6928=2692,8/1000</v>
      </c>
      <c r="D341" s="63"/>
      <c r="E341" s="63"/>
      <c r="F341" s="63"/>
      <c r="G341" s="63"/>
      <c r="H341" s="63"/>
      <c r="I341" s="63"/>
      <c r="J341" s="63"/>
      <c r="K341" s="63"/>
      <c r="L341" s="63"/>
    </row>
    <row r="342" spans="1:82" ht="15" x14ac:dyDescent="0.2">
      <c r="C342" s="89" t="s">
        <v>437</v>
      </c>
      <c r="D342" s="89"/>
      <c r="E342" s="89"/>
      <c r="F342" s="89"/>
      <c r="G342" s="89"/>
      <c r="H342" s="89"/>
      <c r="I342" s="90">
        <f>K342/E340</f>
        <v>1790573.9898989897</v>
      </c>
      <c r="J342" s="90"/>
      <c r="K342" s="90">
        <f>L340</f>
        <v>4821657.6399999997</v>
      </c>
      <c r="L342" s="90"/>
      <c r="AD342">
        <f>ROUND((Source!AT181/100)*((ROUND(ROUND(Source!AO181,2)*Source!I181, 2)+ROUND(ROUND(Source!AN181,2)*Source!I181, 2))), 2)</f>
        <v>0</v>
      </c>
      <c r="AE342">
        <f>ROUND((Source!AU181/100)*((ROUND(ROUND(Source!AO181,2)*Source!I181, 2)+ROUND(ROUND(Source!AN181,2)*Source!I181, 2))), 2)</f>
        <v>0</v>
      </c>
      <c r="AN342" s="51">
        <f>L340</f>
        <v>4821657.6399999997</v>
      </c>
      <c r="AO342">
        <f>0</f>
        <v>0</v>
      </c>
      <c r="AQ342" t="s">
        <v>438</v>
      </c>
      <c r="AR342">
        <f>0</f>
        <v>0</v>
      </c>
      <c r="AT342">
        <f>0</f>
        <v>0</v>
      </c>
      <c r="AV342" t="s">
        <v>438</v>
      </c>
      <c r="AW342" s="51">
        <f>L340</f>
        <v>4821657.6399999997</v>
      </c>
      <c r="AZ342">
        <f>Source!X181</f>
        <v>0</v>
      </c>
      <c r="BA342">
        <f>Source!Y181</f>
        <v>0</v>
      </c>
      <c r="CD342">
        <v>2</v>
      </c>
    </row>
    <row r="343" spans="1:82" ht="42.75" x14ac:dyDescent="0.2">
      <c r="A343" s="64" t="s">
        <v>167</v>
      </c>
      <c r="B343" s="46" t="str">
        <f>Source!F182</f>
        <v>20.2.09.04-0010</v>
      </c>
      <c r="C343" s="46" t="str">
        <f>Source!G182</f>
        <v>Муфта термоусаживаемая соединительная для кабеля с полиэтиленовой или бумажной изоляцией на напряжение до 10 кВ, марка СТп-10-3х(150-240) мм2</v>
      </c>
      <c r="D343" s="47" t="str">
        <f>Source!H182</f>
        <v>ШТ</v>
      </c>
      <c r="E343" s="48">
        <f>Source!K182</f>
        <v>6</v>
      </c>
      <c r="F343" s="48"/>
      <c r="G343" s="48">
        <f>Source!I182</f>
        <v>6</v>
      </c>
      <c r="H343" s="49">
        <f>Source!AL182</f>
        <v>6140.95</v>
      </c>
      <c r="I343" s="50">
        <f>IF(Source!BC182&lt;&gt; 0, Source!BC182, 1)</f>
        <v>1.48</v>
      </c>
      <c r="J343" s="49">
        <f>ROUND(H343*I343, 2)</f>
        <v>9088.61</v>
      </c>
      <c r="K343" s="50"/>
      <c r="L343" s="49">
        <f>Source!P182</f>
        <v>54531.66</v>
      </c>
    </row>
    <row r="344" spans="1:82" ht="15" x14ac:dyDescent="0.2">
      <c r="C344" s="89" t="s">
        <v>437</v>
      </c>
      <c r="D344" s="89"/>
      <c r="E344" s="89"/>
      <c r="F344" s="89"/>
      <c r="G344" s="89"/>
      <c r="H344" s="89"/>
      <c r="I344" s="90">
        <f>K344/E343</f>
        <v>9088.61</v>
      </c>
      <c r="J344" s="90"/>
      <c r="K344" s="90">
        <f>L343</f>
        <v>54531.66</v>
      </c>
      <c r="L344" s="90"/>
      <c r="AD344">
        <f>ROUND((Source!AT182/100)*((ROUND(ROUND(Source!AO182,2)*Source!I182, 2)+ROUND(ROUND(Source!AN182,2)*Source!I182, 2))), 2)</f>
        <v>0</v>
      </c>
      <c r="AE344">
        <f>ROUND((Source!AU182/100)*((ROUND(ROUND(Source!AO182,2)*Source!I182, 2)+ROUND(ROUND(Source!AN182,2)*Source!I182, 2))), 2)</f>
        <v>0</v>
      </c>
      <c r="AN344" s="51">
        <f>L343</f>
        <v>54531.66</v>
      </c>
      <c r="AO344">
        <f>0</f>
        <v>0</v>
      </c>
      <c r="AQ344" t="s">
        <v>438</v>
      </c>
      <c r="AR344">
        <f>0</f>
        <v>0</v>
      </c>
      <c r="AT344">
        <f>0</f>
        <v>0</v>
      </c>
      <c r="AV344" t="s">
        <v>438</v>
      </c>
      <c r="AW344" s="51">
        <f>L343</f>
        <v>54531.66</v>
      </c>
      <c r="AZ344">
        <f>Source!X182</f>
        <v>0</v>
      </c>
      <c r="BA344">
        <f>Source!Y182</f>
        <v>0</v>
      </c>
      <c r="CD344">
        <v>2</v>
      </c>
    </row>
    <row r="345" spans="1:82" ht="28.5" x14ac:dyDescent="0.2">
      <c r="A345" s="64" t="s">
        <v>171</v>
      </c>
      <c r="B345" s="46" t="str">
        <f>Source!F183</f>
        <v>02.3.01.02-1104</v>
      </c>
      <c r="C345" s="46" t="str">
        <f>Source!G183</f>
        <v>Песок природный для строительных работ I класс, средний</v>
      </c>
      <c r="D345" s="47" t="str">
        <f>Source!H183</f>
        <v>м3</v>
      </c>
      <c r="E345" s="48">
        <f>Source!K183</f>
        <v>158.4</v>
      </c>
      <c r="F345" s="48"/>
      <c r="G345" s="48">
        <f>Source!I183</f>
        <v>158.4</v>
      </c>
      <c r="H345" s="49">
        <f>Source!AL183</f>
        <v>573.70000000000005</v>
      </c>
      <c r="I345" s="50">
        <f>IF(Source!BC183&lt;&gt; 0, Source!BC183, 1)</f>
        <v>1.93</v>
      </c>
      <c r="J345" s="49">
        <f>ROUND(H345*I345, 2)</f>
        <v>1107.24</v>
      </c>
      <c r="K345" s="50"/>
      <c r="L345" s="49">
        <f>Source!P183</f>
        <v>175386.82</v>
      </c>
    </row>
    <row r="346" spans="1:82" ht="15" x14ac:dyDescent="0.2">
      <c r="C346" s="89" t="s">
        <v>437</v>
      </c>
      <c r="D346" s="89"/>
      <c r="E346" s="89"/>
      <c r="F346" s="89"/>
      <c r="G346" s="89"/>
      <c r="H346" s="89"/>
      <c r="I346" s="90">
        <f>K346/E345</f>
        <v>1107.2400252525254</v>
      </c>
      <c r="J346" s="90"/>
      <c r="K346" s="90">
        <f>L345</f>
        <v>175386.82</v>
      </c>
      <c r="L346" s="90"/>
      <c r="AD346">
        <f>ROUND((Source!AT183/100)*((ROUND(ROUND(Source!AO183,2)*Source!I183, 2)+ROUND(ROUND(Source!AN183,2)*Source!I183, 2))), 2)</f>
        <v>0</v>
      </c>
      <c r="AE346">
        <f>ROUND((Source!AU183/100)*((ROUND(ROUND(Source!AO183,2)*Source!I183, 2)+ROUND(ROUND(Source!AN183,2)*Source!I183, 2))), 2)</f>
        <v>0</v>
      </c>
      <c r="AN346" s="51">
        <f>L345</f>
        <v>175386.82</v>
      </c>
      <c r="AO346">
        <f>0</f>
        <v>0</v>
      </c>
      <c r="AQ346" t="s">
        <v>438</v>
      </c>
      <c r="AR346">
        <f>0</f>
        <v>0</v>
      </c>
      <c r="AT346">
        <f>0</f>
        <v>0</v>
      </c>
      <c r="AV346" t="s">
        <v>438</v>
      </c>
      <c r="AW346" s="51">
        <f>L345</f>
        <v>175386.82</v>
      </c>
      <c r="AZ346">
        <f>Source!X183</f>
        <v>0</v>
      </c>
      <c r="BA346">
        <f>Source!Y183</f>
        <v>0</v>
      </c>
      <c r="CD346">
        <v>1</v>
      </c>
    </row>
    <row r="347" spans="1:82" ht="42.75" x14ac:dyDescent="0.2">
      <c r="A347" s="64" t="s">
        <v>178</v>
      </c>
      <c r="B347" s="46" t="str">
        <f>Source!F184</f>
        <v>20.2.02.07-1020</v>
      </c>
      <c r="C347" s="46" t="str">
        <f>Source!G184</f>
        <v>Плита из полимернаполненной композиции на основе волластонита для закрытия кабеля ПЗК, размеры 480х480 мм</v>
      </c>
      <c r="D347" s="47" t="str">
        <f>Source!H184</f>
        <v>ШТ</v>
      </c>
      <c r="E347" s="48">
        <f>Source!K184</f>
        <v>2750</v>
      </c>
      <c r="F347" s="48"/>
      <c r="G347" s="48">
        <f>Source!I184</f>
        <v>2750</v>
      </c>
      <c r="H347" s="49">
        <f>Source!AL184</f>
        <v>108.44</v>
      </c>
      <c r="I347" s="50">
        <f>IF(Source!BC184&lt;&gt; 0, Source!BC184, 1)</f>
        <v>1.27</v>
      </c>
      <c r="J347" s="49">
        <f>ROUND(H347*I347, 2)</f>
        <v>137.72</v>
      </c>
      <c r="K347" s="50"/>
      <c r="L347" s="49">
        <f>Source!P184</f>
        <v>378730</v>
      </c>
    </row>
    <row r="348" spans="1:82" ht="15" x14ac:dyDescent="0.2">
      <c r="C348" s="89" t="s">
        <v>437</v>
      </c>
      <c r="D348" s="89"/>
      <c r="E348" s="89"/>
      <c r="F348" s="89"/>
      <c r="G348" s="89"/>
      <c r="H348" s="89"/>
      <c r="I348" s="90">
        <f>K348/E347</f>
        <v>137.72</v>
      </c>
      <c r="J348" s="90"/>
      <c r="K348" s="90">
        <f>L347</f>
        <v>378730</v>
      </c>
      <c r="L348" s="90"/>
      <c r="AD348">
        <f>ROUND((Source!AT184/100)*((ROUND(ROUND(Source!AO184,2)*Source!I184, 2)+ROUND(ROUND(Source!AN184,2)*Source!I184, 2))), 2)</f>
        <v>0</v>
      </c>
      <c r="AE348">
        <f>ROUND((Source!AU184/100)*((ROUND(ROUND(Source!AO184,2)*Source!I184, 2)+ROUND(ROUND(Source!AN184,2)*Source!I184, 2))), 2)</f>
        <v>0</v>
      </c>
      <c r="AN348" s="51">
        <f>L347</f>
        <v>378730</v>
      </c>
      <c r="AO348">
        <f>0</f>
        <v>0</v>
      </c>
      <c r="AQ348" t="s">
        <v>438</v>
      </c>
      <c r="AR348">
        <f>0</f>
        <v>0</v>
      </c>
      <c r="AT348">
        <f>0</f>
        <v>0</v>
      </c>
      <c r="AV348" t="s">
        <v>438</v>
      </c>
      <c r="AW348" s="51">
        <f>L347</f>
        <v>378730</v>
      </c>
      <c r="AZ348">
        <f>Source!X184</f>
        <v>0</v>
      </c>
      <c r="BA348">
        <f>Source!Y184</f>
        <v>0</v>
      </c>
      <c r="CD348">
        <v>2</v>
      </c>
    </row>
    <row r="349" spans="1:82" ht="28.5" x14ac:dyDescent="0.2">
      <c r="A349" s="36" t="s">
        <v>182</v>
      </c>
      <c r="B349" s="38" t="str">
        <f>Source!F185</f>
        <v>22.2.02.23-0300</v>
      </c>
      <c r="C349" s="38" t="str">
        <f>Source!G185</f>
        <v>Таблички-указатели кабельных трасс металлические односторонние, размеры 300х400х0,8 мм</v>
      </c>
      <c r="D349" s="39" t="str">
        <f>Source!H185</f>
        <v>100 ШТ</v>
      </c>
      <c r="E349" s="40">
        <f>Source!K185</f>
        <v>0.13</v>
      </c>
      <c r="F349" s="40"/>
      <c r="G349" s="40">
        <f>Source!I185</f>
        <v>0.13</v>
      </c>
      <c r="H349" s="42">
        <f>Source!AL185</f>
        <v>58449.1</v>
      </c>
      <c r="I349" s="41">
        <f>IF(Source!BC185&lt;&gt; 0, Source!BC185, 1)</f>
        <v>1.1299999999999999</v>
      </c>
      <c r="J349" s="42">
        <f>ROUND(H349*I349, 2)</f>
        <v>66047.48</v>
      </c>
      <c r="K349" s="41"/>
      <c r="L349" s="42">
        <f>Source!P185</f>
        <v>8586.17</v>
      </c>
    </row>
    <row r="350" spans="1:82" x14ac:dyDescent="0.2">
      <c r="A350" s="63"/>
      <c r="B350" s="63"/>
      <c r="C350" s="127" t="str">
        <f>"Объем: "&amp;Source!I185&amp;"=13/"&amp;"100"</f>
        <v>Объем: 0,13=13/100</v>
      </c>
      <c r="D350" s="63"/>
      <c r="E350" s="63"/>
      <c r="F350" s="63"/>
      <c r="G350" s="63"/>
      <c r="H350" s="63"/>
      <c r="I350" s="63"/>
      <c r="J350" s="63"/>
      <c r="K350" s="63"/>
      <c r="L350" s="63"/>
    </row>
    <row r="351" spans="1:82" ht="15" x14ac:dyDescent="0.2">
      <c r="C351" s="89" t="s">
        <v>437</v>
      </c>
      <c r="D351" s="89"/>
      <c r="E351" s="89"/>
      <c r="F351" s="89"/>
      <c r="G351" s="89"/>
      <c r="H351" s="89"/>
      <c r="I351" s="90">
        <f>K351/E349</f>
        <v>66047.461538461532</v>
      </c>
      <c r="J351" s="90"/>
      <c r="K351" s="90">
        <f>L349</f>
        <v>8586.17</v>
      </c>
      <c r="L351" s="90"/>
      <c r="AD351">
        <f>ROUND((Source!AT185/100)*((ROUND(ROUND(Source!AO185,2)*Source!I185, 2)+ROUND(ROUND(Source!AN185,2)*Source!I185, 2))), 2)</f>
        <v>0</v>
      </c>
      <c r="AE351">
        <f>ROUND((Source!AU185/100)*((ROUND(ROUND(Source!AO185,2)*Source!I185, 2)+ROUND(ROUND(Source!AN185,2)*Source!I185, 2))), 2)</f>
        <v>0</v>
      </c>
      <c r="AN351" s="51">
        <f>L349</f>
        <v>8586.17</v>
      </c>
      <c r="AO351">
        <f>0</f>
        <v>0</v>
      </c>
      <c r="AQ351" t="s">
        <v>438</v>
      </c>
      <c r="AR351">
        <f>0</f>
        <v>0</v>
      </c>
      <c r="AT351">
        <f>0</f>
        <v>0</v>
      </c>
      <c r="AV351" t="s">
        <v>438</v>
      </c>
      <c r="AW351" s="51">
        <f>L349</f>
        <v>8586.17</v>
      </c>
      <c r="AZ351">
        <f>Source!X185</f>
        <v>0</v>
      </c>
      <c r="BA351">
        <f>Source!Y185</f>
        <v>0</v>
      </c>
      <c r="CD351">
        <v>2</v>
      </c>
    </row>
    <row r="353" spans="1:12" ht="15" x14ac:dyDescent="0.2">
      <c r="A353" s="57"/>
      <c r="B353" s="58"/>
      <c r="C353" s="87" t="s">
        <v>451</v>
      </c>
      <c r="D353" s="87"/>
      <c r="E353" s="87"/>
      <c r="F353" s="87"/>
      <c r="G353" s="87"/>
      <c r="H353" s="87"/>
      <c r="I353" s="45"/>
      <c r="J353" s="57"/>
      <c r="K353" s="59"/>
      <c r="L353" s="45">
        <f>L355+L356+L362+L366</f>
        <v>5438892.29</v>
      </c>
    </row>
    <row r="354" spans="1:12" ht="14.25" x14ac:dyDescent="0.2">
      <c r="A354" s="54"/>
      <c r="B354" s="56"/>
      <c r="C354" s="86" t="s">
        <v>452</v>
      </c>
      <c r="D354" s="83"/>
      <c r="E354" s="83"/>
      <c r="F354" s="83"/>
      <c r="G354" s="83"/>
      <c r="H354" s="83"/>
      <c r="I354" s="42"/>
      <c r="J354" s="54"/>
      <c r="K354" s="40"/>
      <c r="L354" s="42"/>
    </row>
    <row r="355" spans="1:12" ht="14.25" hidden="1" x14ac:dyDescent="0.2">
      <c r="A355" s="54"/>
      <c r="B355" s="56"/>
      <c r="C355" s="83" t="s">
        <v>453</v>
      </c>
      <c r="D355" s="83"/>
      <c r="E355" s="83"/>
      <c r="F355" s="83"/>
      <c r="G355" s="83"/>
      <c r="H355" s="83"/>
      <c r="I355" s="42"/>
      <c r="J355" s="54"/>
      <c r="K355" s="40"/>
      <c r="L355" s="42">
        <f>SUM(AR339:AR351)</f>
        <v>0</v>
      </c>
    </row>
    <row r="356" spans="1:12" ht="14.25" hidden="1" x14ac:dyDescent="0.2">
      <c r="A356" s="54"/>
      <c r="B356" s="56"/>
      <c r="C356" s="83" t="s">
        <v>454</v>
      </c>
      <c r="D356" s="83"/>
      <c r="E356" s="83"/>
      <c r="F356" s="83"/>
      <c r="G356" s="83"/>
      <c r="H356" s="83"/>
      <c r="I356" s="42"/>
      <c r="J356" s="54"/>
      <c r="K356" s="40"/>
      <c r="L356" s="42">
        <f>L358+L361+L360</f>
        <v>0</v>
      </c>
    </row>
    <row r="357" spans="1:12" ht="14.25" hidden="1" x14ac:dyDescent="0.2">
      <c r="A357" s="54"/>
      <c r="B357" s="56"/>
      <c r="C357" s="86" t="s">
        <v>455</v>
      </c>
      <c r="D357" s="83"/>
      <c r="E357" s="83"/>
      <c r="F357" s="83"/>
      <c r="G357" s="83"/>
      <c r="H357" s="83"/>
      <c r="I357" s="42"/>
      <c r="J357" s="54"/>
      <c r="K357" s="40"/>
      <c r="L357" s="42"/>
    </row>
    <row r="358" spans="1:12" ht="14.25" hidden="1" x14ac:dyDescent="0.2">
      <c r="A358" s="54"/>
      <c r="B358" s="56"/>
      <c r="C358" s="83" t="s">
        <v>454</v>
      </c>
      <c r="D358" s="83"/>
      <c r="E358" s="83"/>
      <c r="F358" s="83"/>
      <c r="G358" s="83"/>
      <c r="H358" s="83"/>
      <c r="I358" s="42"/>
      <c r="J358" s="54"/>
      <c r="K358" s="40"/>
      <c r="L358" s="42">
        <f>SUM(AO339:AO351)</f>
        <v>0</v>
      </c>
    </row>
    <row r="359" spans="1:12" ht="14.25" hidden="1" x14ac:dyDescent="0.2">
      <c r="A359" s="54"/>
      <c r="B359" s="56"/>
      <c r="C359" s="86" t="s">
        <v>456</v>
      </c>
      <c r="D359" s="83"/>
      <c r="E359" s="83"/>
      <c r="F359" s="83"/>
      <c r="G359" s="83"/>
      <c r="H359" s="83"/>
      <c r="I359" s="42"/>
      <c r="J359" s="54"/>
      <c r="K359" s="40"/>
      <c r="L359" s="42"/>
    </row>
    <row r="360" spans="1:12" ht="14.25" hidden="1" x14ac:dyDescent="0.2">
      <c r="A360" s="54"/>
      <c r="B360" s="56"/>
      <c r="C360" s="83" t="s">
        <v>476</v>
      </c>
      <c r="D360" s="83"/>
      <c r="E360" s="83"/>
      <c r="F360" s="83"/>
      <c r="G360" s="83"/>
      <c r="H360" s="83"/>
      <c r="I360" s="42"/>
      <c r="J360" s="54"/>
      <c r="K360" s="40"/>
      <c r="L360" s="42">
        <f>SUM(AT339:AT351)</f>
        <v>0</v>
      </c>
    </row>
    <row r="361" spans="1:12" ht="14.25" hidden="1" x14ac:dyDescent="0.2">
      <c r="A361" s="54"/>
      <c r="B361" s="56"/>
      <c r="C361" s="83" t="s">
        <v>457</v>
      </c>
      <c r="D361" s="83"/>
      <c r="E361" s="83"/>
      <c r="F361" s="83"/>
      <c r="G361" s="83"/>
      <c r="H361" s="83"/>
      <c r="I361" s="42"/>
      <c r="J361" s="54"/>
      <c r="K361" s="40"/>
      <c r="L361" s="42">
        <f>SUM(AV339:AV351)</f>
        <v>0</v>
      </c>
    </row>
    <row r="362" spans="1:12" ht="14.25" x14ac:dyDescent="0.2">
      <c r="A362" s="54"/>
      <c r="B362" s="56"/>
      <c r="C362" s="83" t="s">
        <v>458</v>
      </c>
      <c r="D362" s="83"/>
      <c r="E362" s="83"/>
      <c r="F362" s="83"/>
      <c r="G362" s="83"/>
      <c r="H362" s="83"/>
      <c r="I362" s="42"/>
      <c r="J362" s="54"/>
      <c r="K362" s="40"/>
      <c r="L362" s="42">
        <f>L364+L365</f>
        <v>5438892.29</v>
      </c>
    </row>
    <row r="363" spans="1:12" ht="14.25" x14ac:dyDescent="0.2">
      <c r="A363" s="54"/>
      <c r="B363" s="56"/>
      <c r="C363" s="86" t="s">
        <v>455</v>
      </c>
      <c r="D363" s="83"/>
      <c r="E363" s="83"/>
      <c r="F363" s="83"/>
      <c r="G363" s="83"/>
      <c r="H363" s="83"/>
      <c r="I363" s="42"/>
      <c r="J363" s="54"/>
      <c r="K363" s="40"/>
      <c r="L363" s="42"/>
    </row>
    <row r="364" spans="1:12" ht="14.25" x14ac:dyDescent="0.2">
      <c r="A364" s="54"/>
      <c r="B364" s="56"/>
      <c r="C364" s="83" t="s">
        <v>459</v>
      </c>
      <c r="D364" s="83"/>
      <c r="E364" s="83"/>
      <c r="F364" s="83"/>
      <c r="G364" s="83"/>
      <c r="H364" s="83"/>
      <c r="I364" s="42"/>
      <c r="J364" s="54"/>
      <c r="K364" s="40"/>
      <c r="L364" s="42">
        <f>SUM(AW339:AW351)-SUM(BK339:BK351)</f>
        <v>5438892.29</v>
      </c>
    </row>
    <row r="365" spans="1:12" ht="14.25" hidden="1" x14ac:dyDescent="0.2">
      <c r="A365" s="54"/>
      <c r="B365" s="56"/>
      <c r="C365" s="83" t="s">
        <v>460</v>
      </c>
      <c r="D365" s="83"/>
      <c r="E365" s="83"/>
      <c r="F365" s="83"/>
      <c r="G365" s="83"/>
      <c r="H365" s="83"/>
      <c r="I365" s="42"/>
      <c r="J365" s="54"/>
      <c r="K365" s="40"/>
      <c r="L365" s="42">
        <f>SUM(BC339:BC351)</f>
        <v>0</v>
      </c>
    </row>
    <row r="366" spans="1:12" ht="14.25" hidden="1" x14ac:dyDescent="0.2">
      <c r="A366" s="54"/>
      <c r="B366" s="56"/>
      <c r="C366" s="83" t="s">
        <v>461</v>
      </c>
      <c r="D366" s="83"/>
      <c r="E366" s="83"/>
      <c r="F366" s="83"/>
      <c r="G366" s="83"/>
      <c r="H366" s="83"/>
      <c r="I366" s="42"/>
      <c r="J366" s="54"/>
      <c r="K366" s="40"/>
      <c r="L366" s="42">
        <f>SUM(BB339:BB351)</f>
        <v>0</v>
      </c>
    </row>
    <row r="367" spans="1:12" ht="14.25" hidden="1" x14ac:dyDescent="0.2">
      <c r="A367" s="54"/>
      <c r="B367" s="56"/>
      <c r="C367" s="83" t="s">
        <v>462</v>
      </c>
      <c r="D367" s="83"/>
      <c r="E367" s="83"/>
      <c r="F367" s="83"/>
      <c r="G367" s="83"/>
      <c r="H367" s="83"/>
      <c r="I367" s="42"/>
      <c r="J367" s="54"/>
      <c r="K367" s="40"/>
      <c r="L367" s="42">
        <f>SUM(AR339:AR351)+SUM(AT339:AT351)+SUM(AV339:AV351)</f>
        <v>0</v>
      </c>
    </row>
    <row r="368" spans="1:12" ht="14.25" hidden="1" x14ac:dyDescent="0.2">
      <c r="A368" s="54"/>
      <c r="B368" s="56"/>
      <c r="C368" s="83" t="s">
        <v>463</v>
      </c>
      <c r="D368" s="83"/>
      <c r="E368" s="83"/>
      <c r="F368" s="83"/>
      <c r="G368" s="83"/>
      <c r="H368" s="83"/>
      <c r="I368" s="42"/>
      <c r="J368" s="54"/>
      <c r="K368" s="40"/>
      <c r="L368" s="42">
        <f>SUM(AZ339:AZ351)</f>
        <v>0</v>
      </c>
    </row>
    <row r="369" spans="1:12" ht="14.25" hidden="1" x14ac:dyDescent="0.2">
      <c r="A369" s="54"/>
      <c r="B369" s="56"/>
      <c r="C369" s="83" t="s">
        <v>464</v>
      </c>
      <c r="D369" s="83"/>
      <c r="E369" s="83"/>
      <c r="F369" s="83"/>
      <c r="G369" s="83"/>
      <c r="H369" s="83"/>
      <c r="I369" s="42"/>
      <c r="J369" s="54"/>
      <c r="K369" s="40"/>
      <c r="L369" s="42">
        <f>SUM(BA339:BA351)</f>
        <v>0</v>
      </c>
    </row>
    <row r="370" spans="1:12" ht="14.25" hidden="1" x14ac:dyDescent="0.2">
      <c r="A370" s="54"/>
      <c r="B370" s="56"/>
      <c r="C370" s="83" t="s">
        <v>465</v>
      </c>
      <c r="D370" s="83"/>
      <c r="E370" s="83"/>
      <c r="F370" s="83"/>
      <c r="G370" s="83"/>
      <c r="H370" s="83"/>
      <c r="I370" s="42"/>
      <c r="J370" s="54"/>
      <c r="K370" s="40"/>
      <c r="L370" s="42">
        <f>L372+L373</f>
        <v>0</v>
      </c>
    </row>
    <row r="371" spans="1:12" ht="14.25" hidden="1" x14ac:dyDescent="0.2">
      <c r="A371" s="54"/>
      <c r="B371" s="56"/>
      <c r="C371" s="86" t="s">
        <v>452</v>
      </c>
      <c r="D371" s="83"/>
      <c r="E371" s="83"/>
      <c r="F371" s="83"/>
      <c r="G371" s="83"/>
      <c r="H371" s="83"/>
      <c r="I371" s="42"/>
      <c r="J371" s="54"/>
      <c r="K371" s="40"/>
      <c r="L371" s="42"/>
    </row>
    <row r="372" spans="1:12" ht="14.25" hidden="1" x14ac:dyDescent="0.2">
      <c r="A372" s="54"/>
      <c r="B372" s="56"/>
      <c r="C372" s="83" t="s">
        <v>466</v>
      </c>
      <c r="D372" s="83"/>
      <c r="E372" s="83"/>
      <c r="F372" s="83"/>
      <c r="G372" s="83"/>
      <c r="H372" s="83"/>
      <c r="I372" s="42"/>
      <c r="J372" s="54"/>
      <c r="K372" s="40"/>
      <c r="L372" s="42">
        <f>SUM(BK339:BK351)</f>
        <v>0</v>
      </c>
    </row>
    <row r="373" spans="1:12" ht="14.25" hidden="1" x14ac:dyDescent="0.2">
      <c r="A373" s="54"/>
      <c r="B373" s="56"/>
      <c r="C373" s="83" t="s">
        <v>467</v>
      </c>
      <c r="D373" s="83"/>
      <c r="E373" s="83"/>
      <c r="F373" s="83"/>
      <c r="G373" s="83"/>
      <c r="H373" s="83"/>
      <c r="I373" s="42"/>
      <c r="J373" s="54"/>
      <c r="K373" s="40"/>
      <c r="L373" s="42">
        <f>SUM(BD339:BD351)</f>
        <v>0</v>
      </c>
    </row>
    <row r="374" spans="1:12" ht="14.25" hidden="1" x14ac:dyDescent="0.2">
      <c r="A374" s="54"/>
      <c r="B374" s="56"/>
      <c r="C374" s="83" t="s">
        <v>468</v>
      </c>
      <c r="D374" s="83"/>
      <c r="E374" s="83"/>
      <c r="F374" s="83"/>
      <c r="G374" s="83"/>
      <c r="H374" s="83"/>
      <c r="I374" s="42"/>
      <c r="J374" s="54"/>
      <c r="K374" s="40"/>
      <c r="L374" s="42"/>
    </row>
    <row r="375" spans="1:12" ht="14.25" hidden="1" x14ac:dyDescent="0.2">
      <c r="A375" s="54"/>
      <c r="B375" s="56"/>
      <c r="C375" s="83" t="s">
        <v>469</v>
      </c>
      <c r="D375" s="83"/>
      <c r="E375" s="83"/>
      <c r="F375" s="83"/>
      <c r="G375" s="83"/>
      <c r="H375" s="83"/>
      <c r="I375" s="42"/>
      <c r="J375" s="54"/>
      <c r="K375" s="40"/>
      <c r="L375" s="42">
        <f>SUM(BO339:BO351)</f>
        <v>0</v>
      </c>
    </row>
    <row r="376" spans="1:12" ht="15" x14ac:dyDescent="0.2">
      <c r="A376" s="57"/>
      <c r="B376" s="58"/>
      <c r="C376" s="87" t="s">
        <v>470</v>
      </c>
      <c r="D376" s="87"/>
      <c r="E376" s="87"/>
      <c r="F376" s="87"/>
      <c r="G376" s="87"/>
      <c r="H376" s="87"/>
      <c r="I376" s="45"/>
      <c r="J376" s="57"/>
      <c r="K376" s="59"/>
      <c r="L376" s="45">
        <f>L353+L368+L369+L370+L374+L375</f>
        <v>5438892.29</v>
      </c>
    </row>
    <row r="377" spans="1:12" ht="14.25" hidden="1" x14ac:dyDescent="0.2">
      <c r="A377" s="54"/>
      <c r="B377" s="56"/>
      <c r="C377" s="86" t="s">
        <v>471</v>
      </c>
      <c r="D377" s="83"/>
      <c r="E377" s="83"/>
      <c r="F377" s="83"/>
      <c r="G377" s="83"/>
      <c r="H377" s="83"/>
      <c r="I377" s="42"/>
      <c r="J377" s="54"/>
      <c r="K377" s="40"/>
      <c r="L377" s="42"/>
    </row>
    <row r="378" spans="1:12" ht="14.25" hidden="1" x14ac:dyDescent="0.2">
      <c r="A378" s="54"/>
      <c r="B378" s="56"/>
      <c r="C378" s="83" t="s">
        <v>472</v>
      </c>
      <c r="D378" s="83"/>
      <c r="E378" s="83"/>
      <c r="F378" s="83"/>
      <c r="G378" s="83"/>
      <c r="H378" s="83"/>
      <c r="I378" s="42"/>
      <c r="J378" s="54"/>
      <c r="K378" s="40"/>
      <c r="L378" s="42">
        <f>SUM(AX339:AX351)</f>
        <v>0</v>
      </c>
    </row>
    <row r="379" spans="1:12" ht="14.25" hidden="1" x14ac:dyDescent="0.2">
      <c r="A379" s="54"/>
      <c r="B379" s="56"/>
      <c r="C379" s="83" t="s">
        <v>473</v>
      </c>
      <c r="D379" s="83"/>
      <c r="E379" s="83"/>
      <c r="F379" s="83"/>
      <c r="G379" s="83"/>
      <c r="H379" s="83"/>
      <c r="I379" s="42"/>
      <c r="J379" s="54"/>
      <c r="K379" s="40"/>
      <c r="L379" s="42">
        <f>SUM(AY339:AY351)</f>
        <v>0</v>
      </c>
    </row>
    <row r="380" spans="1:12" ht="14.25" hidden="1" customHeight="1" x14ac:dyDescent="0.2">
      <c r="A380" s="54"/>
      <c r="B380" s="56"/>
      <c r="C380" s="83" t="s">
        <v>474</v>
      </c>
      <c r="D380" s="83"/>
      <c r="E380" s="83"/>
      <c r="F380" s="84"/>
      <c r="G380" s="44">
        <f>Source!F209</f>
        <v>0</v>
      </c>
      <c r="H380" s="54"/>
      <c r="I380" s="54"/>
      <c r="J380" s="54"/>
      <c r="K380" s="54"/>
      <c r="L380" s="54"/>
    </row>
    <row r="381" spans="1:12" ht="14.25" hidden="1" customHeight="1" x14ac:dyDescent="0.2">
      <c r="A381" s="54"/>
      <c r="B381" s="56"/>
      <c r="C381" s="83" t="s">
        <v>475</v>
      </c>
      <c r="D381" s="83"/>
      <c r="E381" s="83"/>
      <c r="F381" s="84"/>
      <c r="G381" s="44">
        <f>Source!F210</f>
        <v>0</v>
      </c>
      <c r="H381" s="54"/>
      <c r="I381" s="54"/>
      <c r="J381" s="54"/>
      <c r="K381" s="54"/>
      <c r="L381" s="54"/>
    </row>
    <row r="384" spans="1:12" ht="16.5" x14ac:dyDescent="0.2">
      <c r="A384" s="91" t="s">
        <v>490</v>
      </c>
      <c r="B384" s="91"/>
      <c r="C384" s="91"/>
      <c r="D384" s="91"/>
      <c r="E384" s="91"/>
      <c r="F384" s="91"/>
      <c r="G384" s="91"/>
      <c r="H384" s="91"/>
      <c r="I384" s="91"/>
      <c r="J384" s="91"/>
      <c r="K384" s="91"/>
      <c r="L384" s="91"/>
    </row>
    <row r="385" spans="1:82" ht="28.5" x14ac:dyDescent="0.2">
      <c r="A385" s="36" t="s">
        <v>188</v>
      </c>
      <c r="B385" s="38" t="s">
        <v>491</v>
      </c>
      <c r="C385" s="38" t="str">
        <f>Source!G221</f>
        <v>Фазировка электрической линии или трансформатора с сетью напряжением: свыше 1 кВ</v>
      </c>
      <c r="D385" s="39" t="str">
        <f>Source!H221</f>
        <v>ШТ</v>
      </c>
      <c r="E385" s="40">
        <f>Source!K221</f>
        <v>6</v>
      </c>
      <c r="F385" s="40"/>
      <c r="G385" s="40">
        <f>Source!I221</f>
        <v>6</v>
      </c>
      <c r="H385" s="42"/>
      <c r="I385" s="41"/>
      <c r="J385" s="42"/>
      <c r="K385" s="41"/>
      <c r="L385" s="42"/>
    </row>
    <row r="386" spans="1:82" ht="15" x14ac:dyDescent="0.2">
      <c r="A386" s="37"/>
      <c r="B386" s="40">
        <v>1</v>
      </c>
      <c r="C386" s="37" t="s">
        <v>432</v>
      </c>
      <c r="D386" s="39" t="s">
        <v>296</v>
      </c>
      <c r="E386" s="44"/>
      <c r="F386" s="40"/>
      <c r="G386" s="44">
        <f>Source!U221</f>
        <v>9.7200000000000006</v>
      </c>
      <c r="H386" s="40"/>
      <c r="I386" s="40"/>
      <c r="J386" s="40"/>
      <c r="K386" s="40"/>
      <c r="L386" s="45">
        <f>SUM(L387:L388)-SUMIF(CE387:CE388, 1, L387:L388)</f>
        <v>6333.75</v>
      </c>
    </row>
    <row r="387" spans="1:82" ht="14.25" x14ac:dyDescent="0.2">
      <c r="A387" s="38"/>
      <c r="B387" s="38" t="s">
        <v>369</v>
      </c>
      <c r="C387" s="38" t="s">
        <v>370</v>
      </c>
      <c r="D387" s="39" t="s">
        <v>303</v>
      </c>
      <c r="E387" s="40">
        <v>0.81</v>
      </c>
      <c r="F387" s="40"/>
      <c r="G387" s="40">
        <f>SmtRes!CX68</f>
        <v>4.8600000000000003</v>
      </c>
      <c r="H387" s="42"/>
      <c r="I387" s="41"/>
      <c r="J387" s="42">
        <f>SmtRes!CZ68</f>
        <v>658.94</v>
      </c>
      <c r="K387" s="41"/>
      <c r="L387" s="42">
        <f>SmtRes!DI68</f>
        <v>3202.45</v>
      </c>
    </row>
    <row r="388" spans="1:82" ht="14.25" x14ac:dyDescent="0.2">
      <c r="A388" s="38"/>
      <c r="B388" s="38" t="s">
        <v>371</v>
      </c>
      <c r="C388" s="46" t="s">
        <v>372</v>
      </c>
      <c r="D388" s="47" t="s">
        <v>303</v>
      </c>
      <c r="E388" s="48">
        <v>0.81</v>
      </c>
      <c r="F388" s="48"/>
      <c r="G388" s="48">
        <f>SmtRes!CX69</f>
        <v>4.8600000000000003</v>
      </c>
      <c r="H388" s="49"/>
      <c r="I388" s="50"/>
      <c r="J388" s="49">
        <f>SmtRes!CZ69</f>
        <v>644.29999999999995</v>
      </c>
      <c r="K388" s="50"/>
      <c r="L388" s="49">
        <f>SmtRes!DI69</f>
        <v>3131.3</v>
      </c>
    </row>
    <row r="389" spans="1:82" ht="15" x14ac:dyDescent="0.2">
      <c r="A389" s="38"/>
      <c r="B389" s="38"/>
      <c r="C389" s="53" t="s">
        <v>433</v>
      </c>
      <c r="D389" s="39"/>
      <c r="E389" s="40"/>
      <c r="F389" s="40"/>
      <c r="G389" s="40"/>
      <c r="H389" s="42"/>
      <c r="I389" s="41"/>
      <c r="J389" s="42"/>
      <c r="K389" s="41"/>
      <c r="L389" s="42">
        <f>L386</f>
        <v>6333.75</v>
      </c>
    </row>
    <row r="390" spans="1:82" ht="14.25" x14ac:dyDescent="0.2">
      <c r="A390" s="38"/>
      <c r="B390" s="38"/>
      <c r="C390" s="38" t="s">
        <v>434</v>
      </c>
      <c r="D390" s="39"/>
      <c r="E390" s="40"/>
      <c r="F390" s="40"/>
      <c r="G390" s="40"/>
      <c r="H390" s="42"/>
      <c r="I390" s="41"/>
      <c r="J390" s="42"/>
      <c r="K390" s="41"/>
      <c r="L390" s="42">
        <f>SUM(AR385:AR393)+SUM(AS385:AS393)+SUM(AT385:AT393)+SUM(AU385:AU393)+SUM(AV385:AV393)</f>
        <v>6333.75</v>
      </c>
    </row>
    <row r="391" spans="1:82" ht="14.25" x14ac:dyDescent="0.2">
      <c r="A391" s="38"/>
      <c r="B391" s="38" t="s">
        <v>194</v>
      </c>
      <c r="C391" s="38" t="s">
        <v>492</v>
      </c>
      <c r="D391" s="39" t="s">
        <v>350</v>
      </c>
      <c r="E391" s="40">
        <f>Source!BZ221</f>
        <v>74</v>
      </c>
      <c r="F391" s="40"/>
      <c r="G391" s="40">
        <f>Source!AT221</f>
        <v>74</v>
      </c>
      <c r="H391" s="42"/>
      <c r="I391" s="41"/>
      <c r="J391" s="42"/>
      <c r="K391" s="41"/>
      <c r="L391" s="42">
        <f>SUM(AZ385:AZ393)</f>
        <v>4686.9799999999996</v>
      </c>
    </row>
    <row r="392" spans="1:82" ht="14.25" x14ac:dyDescent="0.2">
      <c r="A392" s="46"/>
      <c r="B392" s="46" t="s">
        <v>195</v>
      </c>
      <c r="C392" s="46" t="s">
        <v>493</v>
      </c>
      <c r="D392" s="47" t="s">
        <v>350</v>
      </c>
      <c r="E392" s="48">
        <f>Source!CA221</f>
        <v>36</v>
      </c>
      <c r="F392" s="48"/>
      <c r="G392" s="48">
        <f>Source!AU221</f>
        <v>36</v>
      </c>
      <c r="H392" s="49"/>
      <c r="I392" s="50"/>
      <c r="J392" s="49"/>
      <c r="K392" s="50"/>
      <c r="L392" s="49">
        <f>SUM(BA385:BA393)</f>
        <v>2280.15</v>
      </c>
    </row>
    <row r="393" spans="1:82" ht="15" x14ac:dyDescent="0.2">
      <c r="C393" s="89" t="s">
        <v>437</v>
      </c>
      <c r="D393" s="89"/>
      <c r="E393" s="89"/>
      <c r="F393" s="89"/>
      <c r="G393" s="89"/>
      <c r="H393" s="89"/>
      <c r="I393" s="90">
        <f>K393/E385</f>
        <v>2216.813333333333</v>
      </c>
      <c r="J393" s="90"/>
      <c r="K393" s="90">
        <f>L386+L391+L392</f>
        <v>13300.88</v>
      </c>
      <c r="L393" s="90"/>
      <c r="AD393">
        <f>ROUND((Source!AT221/100)*((ROUND(SUMIF(SmtRes!AQ68:'SmtRes'!AQ69,"=1",SmtRes!AD68:'SmtRes'!AD69)*Source!I221, 2)+ROUND(SUMIF(SmtRes!AQ68:'SmtRes'!AQ69,"=1",SmtRes!AC68:'SmtRes'!AC69)*Source!I221, 2))), 2)</f>
        <v>5786.39</v>
      </c>
      <c r="AE393">
        <f>ROUND((Source!AU221/100)*((ROUND(SUMIF(SmtRes!AQ68:'SmtRes'!AQ69,"=1",SmtRes!AD68:'SmtRes'!AD69)*Source!I221, 2)+ROUND(SUMIF(SmtRes!AQ68:'SmtRes'!AQ69,"=1",SmtRes!AC68:'SmtRes'!AC69)*Source!I221, 2))), 2)</f>
        <v>2815</v>
      </c>
      <c r="AN393" s="51">
        <f>L386+L391+L392</f>
        <v>13300.88</v>
      </c>
      <c r="AO393">
        <f>0</f>
        <v>0</v>
      </c>
      <c r="AQ393" t="s">
        <v>438</v>
      </c>
      <c r="AR393" s="51">
        <f>L386</f>
        <v>6333.75</v>
      </c>
      <c r="AT393">
        <f>0</f>
        <v>0</v>
      </c>
      <c r="AV393" t="s">
        <v>438</v>
      </c>
      <c r="AW393">
        <f>0</f>
        <v>0</v>
      </c>
      <c r="AZ393">
        <f>Source!X221</f>
        <v>4686.9799999999996</v>
      </c>
      <c r="BA393">
        <f>Source!Y221</f>
        <v>2280.15</v>
      </c>
      <c r="BR393" s="51">
        <f>K393</f>
        <v>13300.88</v>
      </c>
      <c r="BU393">
        <f>ROUND(K393*80/100, 2)</f>
        <v>10640.7</v>
      </c>
      <c r="BV393" s="51">
        <f>K393-BU393</f>
        <v>2660.1799999999985</v>
      </c>
      <c r="CB393">
        <f>Source!BM221</f>
        <v>200001</v>
      </c>
      <c r="CC393" t="str">
        <f>Source!E221</f>
        <v>18</v>
      </c>
      <c r="CD393">
        <v>4</v>
      </c>
    </row>
    <row r="394" spans="1:82" ht="85.5" x14ac:dyDescent="0.2">
      <c r="A394" s="36" t="s">
        <v>196</v>
      </c>
      <c r="B394" s="38" t="s">
        <v>494</v>
      </c>
      <c r="C394" s="38" t="str">
        <f>Source!G222</f>
        <v>Измерение сопротивления изоляции (на линию) мегаомметром кабельных и других линий напряжением до 1 кВ, предназначенных для передачи электроэнергии к распределительным устройствам, щитам, шкафам, коммутационным аппаратам и электропотребителям</v>
      </c>
      <c r="D394" s="39" t="str">
        <f>Source!H222</f>
        <v>ШТ</v>
      </c>
      <c r="E394" s="40">
        <f>Source!K222</f>
        <v>6</v>
      </c>
      <c r="F394" s="40"/>
      <c r="G394" s="40">
        <f>Source!I222</f>
        <v>6</v>
      </c>
      <c r="H394" s="42"/>
      <c r="I394" s="41"/>
      <c r="J394" s="42"/>
      <c r="K394" s="41"/>
      <c r="L394" s="42"/>
    </row>
    <row r="395" spans="1:82" ht="15" x14ac:dyDescent="0.2">
      <c r="A395" s="37"/>
      <c r="B395" s="40">
        <v>1</v>
      </c>
      <c r="C395" s="37" t="s">
        <v>432</v>
      </c>
      <c r="D395" s="39" t="s">
        <v>296</v>
      </c>
      <c r="E395" s="44"/>
      <c r="F395" s="40"/>
      <c r="G395" s="44">
        <f>Source!U222</f>
        <v>1.92</v>
      </c>
      <c r="H395" s="40"/>
      <c r="I395" s="40"/>
      <c r="J395" s="40"/>
      <c r="K395" s="40"/>
      <c r="L395" s="45">
        <f>SUM(L396:L397)-SUMIF(CE396:CE397, 1, L396:L397)</f>
        <v>1251.1100000000001</v>
      </c>
    </row>
    <row r="396" spans="1:82" ht="14.25" x14ac:dyDescent="0.2">
      <c r="A396" s="38"/>
      <c r="B396" s="38" t="s">
        <v>369</v>
      </c>
      <c r="C396" s="38" t="s">
        <v>370</v>
      </c>
      <c r="D396" s="39" t="s">
        <v>303</v>
      </c>
      <c r="E396" s="40">
        <v>0.16</v>
      </c>
      <c r="F396" s="40"/>
      <c r="G396" s="40">
        <f>SmtRes!CX70</f>
        <v>0.96</v>
      </c>
      <c r="H396" s="42"/>
      <c r="I396" s="41"/>
      <c r="J396" s="42">
        <f>SmtRes!CZ70</f>
        <v>658.94</v>
      </c>
      <c r="K396" s="41"/>
      <c r="L396" s="42">
        <f>SmtRes!DI70</f>
        <v>632.58000000000004</v>
      </c>
    </row>
    <row r="397" spans="1:82" ht="14.25" x14ac:dyDescent="0.2">
      <c r="A397" s="38"/>
      <c r="B397" s="38" t="s">
        <v>371</v>
      </c>
      <c r="C397" s="46" t="s">
        <v>372</v>
      </c>
      <c r="D397" s="47" t="s">
        <v>303</v>
      </c>
      <c r="E397" s="48">
        <v>0.16</v>
      </c>
      <c r="F397" s="48"/>
      <c r="G397" s="48">
        <f>SmtRes!CX71</f>
        <v>0.96</v>
      </c>
      <c r="H397" s="49"/>
      <c r="I397" s="50"/>
      <c r="J397" s="49">
        <f>SmtRes!CZ71</f>
        <v>644.29999999999995</v>
      </c>
      <c r="K397" s="50"/>
      <c r="L397" s="49">
        <f>SmtRes!DI71</f>
        <v>618.53</v>
      </c>
    </row>
    <row r="398" spans="1:82" ht="15" x14ac:dyDescent="0.2">
      <c r="A398" s="38"/>
      <c r="B398" s="38"/>
      <c r="C398" s="53" t="s">
        <v>433</v>
      </c>
      <c r="D398" s="39"/>
      <c r="E398" s="40"/>
      <c r="F398" s="40"/>
      <c r="G398" s="40"/>
      <c r="H398" s="42"/>
      <c r="I398" s="41"/>
      <c r="J398" s="42"/>
      <c r="K398" s="41"/>
      <c r="L398" s="42">
        <f>L395</f>
        <v>1251.1100000000001</v>
      </c>
    </row>
    <row r="399" spans="1:82" ht="14.25" x14ac:dyDescent="0.2">
      <c r="A399" s="38"/>
      <c r="B399" s="38"/>
      <c r="C399" s="38" t="s">
        <v>434</v>
      </c>
      <c r="D399" s="39"/>
      <c r="E399" s="40"/>
      <c r="F399" s="40"/>
      <c r="G399" s="40"/>
      <c r="H399" s="42"/>
      <c r="I399" s="41"/>
      <c r="J399" s="42"/>
      <c r="K399" s="41"/>
      <c r="L399" s="42">
        <f>SUM(AR394:AR402)+SUM(AS394:AS402)+SUM(AT394:AT402)+SUM(AU394:AU402)+SUM(AV394:AV402)</f>
        <v>1251.1100000000001</v>
      </c>
    </row>
    <row r="400" spans="1:82" ht="14.25" x14ac:dyDescent="0.2">
      <c r="A400" s="38"/>
      <c r="B400" s="38" t="s">
        <v>194</v>
      </c>
      <c r="C400" s="38" t="s">
        <v>492</v>
      </c>
      <c r="D400" s="39" t="s">
        <v>350</v>
      </c>
      <c r="E400" s="40">
        <f>Source!BZ222</f>
        <v>74</v>
      </c>
      <c r="F400" s="40"/>
      <c r="G400" s="40">
        <f>Source!AT222</f>
        <v>74</v>
      </c>
      <c r="H400" s="42"/>
      <c r="I400" s="41"/>
      <c r="J400" s="42"/>
      <c r="K400" s="41"/>
      <c r="L400" s="42">
        <f>SUM(AZ394:AZ402)</f>
        <v>925.82</v>
      </c>
    </row>
    <row r="401" spans="1:82" ht="14.25" x14ac:dyDescent="0.2">
      <c r="A401" s="46"/>
      <c r="B401" s="46" t="s">
        <v>195</v>
      </c>
      <c r="C401" s="46" t="s">
        <v>493</v>
      </c>
      <c r="D401" s="47" t="s">
        <v>350</v>
      </c>
      <c r="E401" s="48">
        <f>Source!CA222</f>
        <v>36</v>
      </c>
      <c r="F401" s="48"/>
      <c r="G401" s="48">
        <f>Source!AU222</f>
        <v>36</v>
      </c>
      <c r="H401" s="49"/>
      <c r="I401" s="50"/>
      <c r="J401" s="49"/>
      <c r="K401" s="50"/>
      <c r="L401" s="49">
        <f>SUM(BA394:BA402)</f>
        <v>450.4</v>
      </c>
    </row>
    <row r="402" spans="1:82" ht="15" x14ac:dyDescent="0.2">
      <c r="C402" s="89" t="s">
        <v>437</v>
      </c>
      <c r="D402" s="89"/>
      <c r="E402" s="89"/>
      <c r="F402" s="89"/>
      <c r="G402" s="89"/>
      <c r="H402" s="89"/>
      <c r="I402" s="90">
        <f>K402/E394</f>
        <v>437.88833333333338</v>
      </c>
      <c r="J402" s="90"/>
      <c r="K402" s="90">
        <f>L395+L400+L401</f>
        <v>2627.3300000000004</v>
      </c>
      <c r="L402" s="90"/>
      <c r="AD402">
        <f>ROUND((Source!AT222/100)*((ROUND(SUMIF(SmtRes!AQ70:'SmtRes'!AQ71,"=1",SmtRes!AD70:'SmtRes'!AD71)*Source!I222, 2)+ROUND(SUMIF(SmtRes!AQ70:'SmtRes'!AQ71,"=1",SmtRes!AC70:'SmtRes'!AC71)*Source!I222, 2))), 2)</f>
        <v>5786.39</v>
      </c>
      <c r="AE402">
        <f>ROUND((Source!AU222/100)*((ROUND(SUMIF(SmtRes!AQ70:'SmtRes'!AQ71,"=1",SmtRes!AD70:'SmtRes'!AD71)*Source!I222, 2)+ROUND(SUMIF(SmtRes!AQ70:'SmtRes'!AQ71,"=1",SmtRes!AC70:'SmtRes'!AC71)*Source!I222, 2))), 2)</f>
        <v>2815</v>
      </c>
      <c r="AN402" s="51">
        <f>L395+L400+L401</f>
        <v>2627.3300000000004</v>
      </c>
      <c r="AO402">
        <f>0</f>
        <v>0</v>
      </c>
      <c r="AQ402" t="s">
        <v>438</v>
      </c>
      <c r="AR402" s="51">
        <f>L395</f>
        <v>1251.1100000000001</v>
      </c>
      <c r="AT402">
        <f>0</f>
        <v>0</v>
      </c>
      <c r="AV402" t="s">
        <v>438</v>
      </c>
      <c r="AW402">
        <f>0</f>
        <v>0</v>
      </c>
      <c r="AZ402">
        <f>Source!X222</f>
        <v>925.82</v>
      </c>
      <c r="BA402">
        <f>Source!Y222</f>
        <v>450.4</v>
      </c>
      <c r="BR402" s="51">
        <f>K402</f>
        <v>2627.3300000000004</v>
      </c>
      <c r="BU402">
        <f>ROUND(K402*80/100, 2)</f>
        <v>2101.86</v>
      </c>
      <c r="BV402" s="51">
        <f>K402-BU402</f>
        <v>525.47000000000025</v>
      </c>
      <c r="CB402">
        <f>Source!BM222</f>
        <v>200001</v>
      </c>
      <c r="CC402" t="str">
        <f>Source!E222</f>
        <v>19</v>
      </c>
      <c r="CD402">
        <v>4</v>
      </c>
    </row>
    <row r="403" spans="1:82" ht="28.5" x14ac:dyDescent="0.2">
      <c r="A403" s="36" t="s">
        <v>200</v>
      </c>
      <c r="B403" s="38" t="s">
        <v>495</v>
      </c>
      <c r="C403" s="38" t="str">
        <f>Source!G223</f>
        <v>Испытание кабеля силового длиной до 500 м напряжением: до 10 кВ</v>
      </c>
      <c r="D403" s="39" t="str">
        <f>Source!H223</f>
        <v>испытание</v>
      </c>
      <c r="E403" s="40">
        <f>Source!K223</f>
        <v>2</v>
      </c>
      <c r="F403" s="40"/>
      <c r="G403" s="40">
        <f>Source!I223</f>
        <v>2</v>
      </c>
      <c r="H403" s="42"/>
      <c r="I403" s="41"/>
      <c r="J403" s="42"/>
      <c r="K403" s="41"/>
      <c r="L403" s="42"/>
    </row>
    <row r="404" spans="1:82" ht="15" x14ac:dyDescent="0.2">
      <c r="A404" s="37"/>
      <c r="B404" s="40">
        <v>1</v>
      </c>
      <c r="C404" s="37" t="s">
        <v>432</v>
      </c>
      <c r="D404" s="39" t="s">
        <v>296</v>
      </c>
      <c r="E404" s="44"/>
      <c r="F404" s="40"/>
      <c r="G404" s="44">
        <f>Source!U223</f>
        <v>9.7199999999999989</v>
      </c>
      <c r="H404" s="40"/>
      <c r="I404" s="40"/>
      <c r="J404" s="40"/>
      <c r="K404" s="40"/>
      <c r="L404" s="45">
        <f>SUM(L405:L406)-SUMIF(CE405:CE406, 1, L405:L406)</f>
        <v>5666.04</v>
      </c>
    </row>
    <row r="405" spans="1:82" ht="14.25" x14ac:dyDescent="0.2">
      <c r="A405" s="38"/>
      <c r="B405" s="38" t="s">
        <v>373</v>
      </c>
      <c r="C405" s="38" t="s">
        <v>374</v>
      </c>
      <c r="D405" s="39" t="s">
        <v>303</v>
      </c>
      <c r="E405" s="40">
        <v>1.94</v>
      </c>
      <c r="F405" s="40"/>
      <c r="G405" s="40">
        <f>SmtRes!CX72</f>
        <v>3.88</v>
      </c>
      <c r="H405" s="42"/>
      <c r="I405" s="41"/>
      <c r="J405" s="42">
        <f>SmtRes!CZ72</f>
        <v>490.55</v>
      </c>
      <c r="K405" s="41"/>
      <c r="L405" s="42">
        <f>SmtRes!DI72</f>
        <v>1903.33</v>
      </c>
    </row>
    <row r="406" spans="1:82" ht="14.25" x14ac:dyDescent="0.2">
      <c r="A406" s="38"/>
      <c r="B406" s="38" t="s">
        <v>371</v>
      </c>
      <c r="C406" s="46" t="s">
        <v>372</v>
      </c>
      <c r="D406" s="47" t="s">
        <v>303</v>
      </c>
      <c r="E406" s="48">
        <v>2.92</v>
      </c>
      <c r="F406" s="48"/>
      <c r="G406" s="48">
        <f>SmtRes!CX73</f>
        <v>5.84</v>
      </c>
      <c r="H406" s="49"/>
      <c r="I406" s="50"/>
      <c r="J406" s="49">
        <f>SmtRes!CZ73</f>
        <v>644.29999999999995</v>
      </c>
      <c r="K406" s="50"/>
      <c r="L406" s="49">
        <f>SmtRes!DI73</f>
        <v>3762.71</v>
      </c>
    </row>
    <row r="407" spans="1:82" ht="15" x14ac:dyDescent="0.2">
      <c r="A407" s="38"/>
      <c r="B407" s="38"/>
      <c r="C407" s="53" t="s">
        <v>433</v>
      </c>
      <c r="D407" s="39"/>
      <c r="E407" s="40"/>
      <c r="F407" s="40"/>
      <c r="G407" s="40"/>
      <c r="H407" s="42"/>
      <c r="I407" s="41"/>
      <c r="J407" s="42"/>
      <c r="K407" s="41"/>
      <c r="L407" s="42">
        <f>L404</f>
        <v>5666.04</v>
      </c>
    </row>
    <row r="408" spans="1:82" ht="14.25" x14ac:dyDescent="0.2">
      <c r="A408" s="38"/>
      <c r="B408" s="38"/>
      <c r="C408" s="38" t="s">
        <v>434</v>
      </c>
      <c r="D408" s="39"/>
      <c r="E408" s="40"/>
      <c r="F408" s="40"/>
      <c r="G408" s="40"/>
      <c r="H408" s="42"/>
      <c r="I408" s="41"/>
      <c r="J408" s="42"/>
      <c r="K408" s="41"/>
      <c r="L408" s="42">
        <f>SUM(AR403:AR411)+SUM(AS403:AS411)+SUM(AT403:AT411)+SUM(AU403:AU411)+SUM(AV403:AV411)</f>
        <v>5666.04</v>
      </c>
    </row>
    <row r="409" spans="1:82" ht="14.25" x14ac:dyDescent="0.2">
      <c r="A409" s="38"/>
      <c r="B409" s="38" t="s">
        <v>194</v>
      </c>
      <c r="C409" s="38" t="s">
        <v>492</v>
      </c>
      <c r="D409" s="39" t="s">
        <v>350</v>
      </c>
      <c r="E409" s="40">
        <f>Source!BZ223</f>
        <v>74</v>
      </c>
      <c r="F409" s="40"/>
      <c r="G409" s="40">
        <f>Source!AT223</f>
        <v>74</v>
      </c>
      <c r="H409" s="42"/>
      <c r="I409" s="41"/>
      <c r="J409" s="42"/>
      <c r="K409" s="41"/>
      <c r="L409" s="42">
        <f>SUM(AZ403:AZ411)</f>
        <v>4192.87</v>
      </c>
    </row>
    <row r="410" spans="1:82" ht="14.25" x14ac:dyDescent="0.2">
      <c r="A410" s="46"/>
      <c r="B410" s="46" t="s">
        <v>195</v>
      </c>
      <c r="C410" s="46" t="s">
        <v>493</v>
      </c>
      <c r="D410" s="47" t="s">
        <v>350</v>
      </c>
      <c r="E410" s="48">
        <f>Source!CA223</f>
        <v>36</v>
      </c>
      <c r="F410" s="48"/>
      <c r="G410" s="48">
        <f>Source!AU223</f>
        <v>36</v>
      </c>
      <c r="H410" s="49"/>
      <c r="I410" s="50"/>
      <c r="J410" s="49"/>
      <c r="K410" s="50"/>
      <c r="L410" s="49">
        <f>SUM(BA403:BA411)</f>
        <v>2039.77</v>
      </c>
    </row>
    <row r="411" spans="1:82" ht="15" x14ac:dyDescent="0.2">
      <c r="C411" s="89" t="s">
        <v>437</v>
      </c>
      <c r="D411" s="89"/>
      <c r="E411" s="89"/>
      <c r="F411" s="89"/>
      <c r="G411" s="89"/>
      <c r="H411" s="89"/>
      <c r="I411" s="90">
        <f>K411/E403</f>
        <v>5949.34</v>
      </c>
      <c r="J411" s="90"/>
      <c r="K411" s="90">
        <f>L404+L409+L410</f>
        <v>11898.68</v>
      </c>
      <c r="L411" s="90"/>
      <c r="AD411">
        <f>ROUND((Source!AT223/100)*((ROUND(SUMIF(SmtRes!AQ72:'SmtRes'!AQ73,"=1",SmtRes!AD72:'SmtRes'!AD73)*Source!I223, 2)+ROUND(SUMIF(SmtRes!AQ72:'SmtRes'!AQ73,"=1",SmtRes!AC72:'SmtRes'!AC73)*Source!I223, 2))), 2)</f>
        <v>1679.58</v>
      </c>
      <c r="AE411">
        <f>ROUND((Source!AU223/100)*((ROUND(SUMIF(SmtRes!AQ72:'SmtRes'!AQ73,"=1",SmtRes!AD72:'SmtRes'!AD73)*Source!I223, 2)+ROUND(SUMIF(SmtRes!AQ72:'SmtRes'!AQ73,"=1",SmtRes!AC72:'SmtRes'!AC73)*Source!I223, 2))), 2)</f>
        <v>817.09</v>
      </c>
      <c r="AN411" s="51">
        <f>L404+L409+L410</f>
        <v>11898.68</v>
      </c>
      <c r="AO411">
        <f>0</f>
        <v>0</v>
      </c>
      <c r="AQ411" t="s">
        <v>438</v>
      </c>
      <c r="AR411" s="51">
        <f>L404</f>
        <v>5666.04</v>
      </c>
      <c r="AT411">
        <f>0</f>
        <v>0</v>
      </c>
      <c r="AV411" t="s">
        <v>438</v>
      </c>
      <c r="AW411">
        <f>0</f>
        <v>0</v>
      </c>
      <c r="AZ411">
        <f>Source!X223</f>
        <v>4192.87</v>
      </c>
      <c r="BA411">
        <f>Source!Y223</f>
        <v>2039.77</v>
      </c>
      <c r="BR411" s="51">
        <f>K411</f>
        <v>11898.68</v>
      </c>
      <c r="BU411">
        <f>ROUND(K411*80/100, 2)</f>
        <v>9518.94</v>
      </c>
      <c r="BV411" s="51">
        <f>K411-BU411</f>
        <v>2379.7399999999998</v>
      </c>
      <c r="CB411">
        <f>Source!BM223</f>
        <v>200001</v>
      </c>
      <c r="CC411" t="str">
        <f>Source!E223</f>
        <v>20</v>
      </c>
      <c r="CD411">
        <v>4</v>
      </c>
    </row>
    <row r="412" spans="1:82" ht="42.75" x14ac:dyDescent="0.2">
      <c r="A412" s="36" t="s">
        <v>205</v>
      </c>
      <c r="B412" s="38" t="s">
        <v>496</v>
      </c>
      <c r="C412" s="38" t="str">
        <f>Source!G224</f>
        <v>За каждые последующие 500 м испытания силового кабеля напряжением: до 10 кВ добавлять к норме 01-12-027-01</v>
      </c>
      <c r="D412" s="39" t="str">
        <f>Source!H224</f>
        <v>500 м кабеля</v>
      </c>
      <c r="E412" s="40">
        <f>Source!K224</f>
        <v>1.64</v>
      </c>
      <c r="F412" s="40"/>
      <c r="G412" s="40">
        <f>Source!I224</f>
        <v>1.64</v>
      </c>
      <c r="H412" s="42"/>
      <c r="I412" s="41"/>
      <c r="J412" s="42"/>
      <c r="K412" s="41"/>
      <c r="L412" s="42"/>
    </row>
    <row r="413" spans="1:82" x14ac:dyDescent="0.2">
      <c r="C413" s="56" t="str">
        <f>"Объем: "&amp;Source!I224&amp;"=820/"&amp;"500"</f>
        <v>Объем: 1,64=820/500</v>
      </c>
    </row>
    <row r="414" spans="1:82" ht="15" x14ac:dyDescent="0.2">
      <c r="A414" s="37"/>
      <c r="B414" s="40">
        <v>1</v>
      </c>
      <c r="C414" s="37" t="s">
        <v>432</v>
      </c>
      <c r="D414" s="39" t="s">
        <v>296</v>
      </c>
      <c r="E414" s="44"/>
      <c r="F414" s="40"/>
      <c r="G414" s="44">
        <f>Source!U224</f>
        <v>2.3780000000000001</v>
      </c>
      <c r="H414" s="40"/>
      <c r="I414" s="40"/>
      <c r="J414" s="40"/>
      <c r="K414" s="40"/>
      <c r="L414" s="45">
        <f>SUM(L415:L416)-SUMIF(CE415:CE416, 1, L415:L416)</f>
        <v>1385.9</v>
      </c>
    </row>
    <row r="415" spans="1:82" ht="14.25" x14ac:dyDescent="0.2">
      <c r="A415" s="38"/>
      <c r="B415" s="38" t="s">
        <v>373</v>
      </c>
      <c r="C415" s="38" t="s">
        <v>374</v>
      </c>
      <c r="D415" s="39" t="s">
        <v>303</v>
      </c>
      <c r="E415" s="40">
        <v>0.57999999999999996</v>
      </c>
      <c r="F415" s="40"/>
      <c r="G415" s="40">
        <f>SmtRes!CX74</f>
        <v>0.95120000000000005</v>
      </c>
      <c r="H415" s="42"/>
      <c r="I415" s="41"/>
      <c r="J415" s="42">
        <f>SmtRes!CZ74</f>
        <v>490.55</v>
      </c>
      <c r="K415" s="41"/>
      <c r="L415" s="42">
        <f>SmtRes!DI74</f>
        <v>466.61</v>
      </c>
    </row>
    <row r="416" spans="1:82" ht="14.25" x14ac:dyDescent="0.2">
      <c r="A416" s="38"/>
      <c r="B416" s="38" t="s">
        <v>371</v>
      </c>
      <c r="C416" s="46" t="s">
        <v>372</v>
      </c>
      <c r="D416" s="47" t="s">
        <v>303</v>
      </c>
      <c r="E416" s="48">
        <v>0.87</v>
      </c>
      <c r="F416" s="48"/>
      <c r="G416" s="48">
        <f>SmtRes!CX75</f>
        <v>1.4268000000000001</v>
      </c>
      <c r="H416" s="49"/>
      <c r="I416" s="50"/>
      <c r="J416" s="49">
        <f>SmtRes!CZ75</f>
        <v>644.29999999999995</v>
      </c>
      <c r="K416" s="50"/>
      <c r="L416" s="49">
        <f>SmtRes!DI75</f>
        <v>919.29</v>
      </c>
    </row>
    <row r="417" spans="1:82" ht="15" x14ac:dyDescent="0.2">
      <c r="A417" s="38"/>
      <c r="B417" s="38"/>
      <c r="C417" s="53" t="s">
        <v>433</v>
      </c>
      <c r="D417" s="39"/>
      <c r="E417" s="40"/>
      <c r="F417" s="40"/>
      <c r="G417" s="40"/>
      <c r="H417" s="42"/>
      <c r="I417" s="41"/>
      <c r="J417" s="42"/>
      <c r="K417" s="41"/>
      <c r="L417" s="42">
        <f>L414</f>
        <v>1385.9</v>
      </c>
    </row>
    <row r="418" spans="1:82" ht="14.25" x14ac:dyDescent="0.2">
      <c r="A418" s="38"/>
      <c r="B418" s="38"/>
      <c r="C418" s="38" t="s">
        <v>434</v>
      </c>
      <c r="D418" s="39"/>
      <c r="E418" s="40"/>
      <c r="F418" s="40"/>
      <c r="G418" s="40"/>
      <c r="H418" s="42"/>
      <c r="I418" s="41"/>
      <c r="J418" s="42"/>
      <c r="K418" s="41"/>
      <c r="L418" s="42">
        <f>SUM(AR412:AR421)+SUM(AS412:AS421)+SUM(AT412:AT421)+SUM(AU412:AU421)+SUM(AV412:AV421)</f>
        <v>1385.9</v>
      </c>
    </row>
    <row r="419" spans="1:82" ht="14.25" x14ac:dyDescent="0.2">
      <c r="A419" s="38"/>
      <c r="B419" s="38" t="s">
        <v>194</v>
      </c>
      <c r="C419" s="38" t="s">
        <v>492</v>
      </c>
      <c r="D419" s="39" t="s">
        <v>350</v>
      </c>
      <c r="E419" s="40">
        <f>Source!BZ224</f>
        <v>74</v>
      </c>
      <c r="F419" s="40"/>
      <c r="G419" s="40">
        <f>Source!AT224</f>
        <v>74</v>
      </c>
      <c r="H419" s="42"/>
      <c r="I419" s="41"/>
      <c r="J419" s="42"/>
      <c r="K419" s="41"/>
      <c r="L419" s="42">
        <f>SUM(AZ412:AZ421)</f>
        <v>1025.57</v>
      </c>
    </row>
    <row r="420" spans="1:82" ht="14.25" x14ac:dyDescent="0.2">
      <c r="A420" s="46"/>
      <c r="B420" s="46" t="s">
        <v>195</v>
      </c>
      <c r="C420" s="46" t="s">
        <v>493</v>
      </c>
      <c r="D420" s="47" t="s">
        <v>350</v>
      </c>
      <c r="E420" s="48">
        <f>Source!CA224</f>
        <v>36</v>
      </c>
      <c r="F420" s="48"/>
      <c r="G420" s="48">
        <f>Source!AU224</f>
        <v>36</v>
      </c>
      <c r="H420" s="49"/>
      <c r="I420" s="50"/>
      <c r="J420" s="49"/>
      <c r="K420" s="50"/>
      <c r="L420" s="49">
        <f>SUM(BA412:BA421)</f>
        <v>498.92</v>
      </c>
    </row>
    <row r="421" spans="1:82" ht="15" x14ac:dyDescent="0.2">
      <c r="C421" s="89" t="s">
        <v>437</v>
      </c>
      <c r="D421" s="89"/>
      <c r="E421" s="89"/>
      <c r="F421" s="89"/>
      <c r="G421" s="89"/>
      <c r="H421" s="89"/>
      <c r="I421" s="90">
        <f>K421/E412</f>
        <v>1774.6280487804881</v>
      </c>
      <c r="J421" s="90"/>
      <c r="K421" s="90">
        <f>L414+L419+L420</f>
        <v>2910.3900000000003</v>
      </c>
      <c r="L421" s="90"/>
      <c r="AD421">
        <f>ROUND((Source!AT224/100)*((ROUND(SUMIF(SmtRes!AQ74:'SmtRes'!AQ75,"=1",SmtRes!AD74:'SmtRes'!AD75)*Source!I224, 2)+ROUND(SUMIF(SmtRes!AQ74:'SmtRes'!AQ75,"=1",SmtRes!AC74:'SmtRes'!AC75)*Source!I224, 2))), 2)</f>
        <v>1377.25</v>
      </c>
      <c r="AE421">
        <f>ROUND((Source!AU224/100)*((ROUND(SUMIF(SmtRes!AQ74:'SmtRes'!AQ75,"=1",SmtRes!AD74:'SmtRes'!AD75)*Source!I224, 2)+ROUND(SUMIF(SmtRes!AQ74:'SmtRes'!AQ75,"=1",SmtRes!AC74:'SmtRes'!AC75)*Source!I224, 2))), 2)</f>
        <v>670.01</v>
      </c>
      <c r="AN421" s="51">
        <f>L414+L419+L420</f>
        <v>2910.3900000000003</v>
      </c>
      <c r="AO421">
        <f>0</f>
        <v>0</v>
      </c>
      <c r="AQ421" t="s">
        <v>438</v>
      </c>
      <c r="AR421" s="51">
        <f>L414</f>
        <v>1385.9</v>
      </c>
      <c r="AT421">
        <f>0</f>
        <v>0</v>
      </c>
      <c r="AV421" t="s">
        <v>438</v>
      </c>
      <c r="AW421">
        <f>0</f>
        <v>0</v>
      </c>
      <c r="AZ421">
        <f>Source!X224</f>
        <v>1025.57</v>
      </c>
      <c r="BA421">
        <f>Source!Y224</f>
        <v>498.92</v>
      </c>
      <c r="BR421" s="51">
        <f>K421</f>
        <v>2910.3900000000003</v>
      </c>
      <c r="BU421">
        <f>ROUND(K421*80/100, 2)</f>
        <v>2328.31</v>
      </c>
      <c r="BV421" s="51">
        <f>K421-BU421</f>
        <v>582.08000000000038</v>
      </c>
      <c r="CB421">
        <f>Source!BM224</f>
        <v>200001</v>
      </c>
      <c r="CC421" t="str">
        <f>Source!E224</f>
        <v>21</v>
      </c>
      <c r="CD421">
        <v>4</v>
      </c>
    </row>
    <row r="423" spans="1:82" ht="15" x14ac:dyDescent="0.2">
      <c r="A423" s="57"/>
      <c r="B423" s="58"/>
      <c r="C423" s="87" t="s">
        <v>451</v>
      </c>
      <c r="D423" s="87"/>
      <c r="E423" s="87"/>
      <c r="F423" s="87"/>
      <c r="G423" s="87"/>
      <c r="H423" s="87"/>
      <c r="I423" s="45"/>
      <c r="J423" s="57"/>
      <c r="K423" s="59"/>
      <c r="L423" s="45">
        <f>L425+L426+L432+L436</f>
        <v>14636.800000000001</v>
      </c>
    </row>
    <row r="424" spans="1:82" ht="14.25" x14ac:dyDescent="0.2">
      <c r="A424" s="54"/>
      <c r="B424" s="56"/>
      <c r="C424" s="86" t="s">
        <v>452</v>
      </c>
      <c r="D424" s="83"/>
      <c r="E424" s="83"/>
      <c r="F424" s="83"/>
      <c r="G424" s="83"/>
      <c r="H424" s="83"/>
      <c r="I424" s="42"/>
      <c r="J424" s="54"/>
      <c r="K424" s="40"/>
      <c r="L424" s="42"/>
    </row>
    <row r="425" spans="1:82" ht="14.25" x14ac:dyDescent="0.2">
      <c r="A425" s="54"/>
      <c r="B425" s="56"/>
      <c r="C425" s="83" t="s">
        <v>453</v>
      </c>
      <c r="D425" s="83"/>
      <c r="E425" s="83"/>
      <c r="F425" s="83"/>
      <c r="G425" s="83"/>
      <c r="H425" s="83"/>
      <c r="I425" s="42"/>
      <c r="J425" s="54"/>
      <c r="K425" s="40"/>
      <c r="L425" s="42">
        <f>SUM(AR384:AR421)</f>
        <v>14636.800000000001</v>
      </c>
    </row>
    <row r="426" spans="1:82" ht="14.25" hidden="1" x14ac:dyDescent="0.2">
      <c r="A426" s="54"/>
      <c r="B426" s="56"/>
      <c r="C426" s="83" t="s">
        <v>454</v>
      </c>
      <c r="D426" s="83"/>
      <c r="E426" s="83"/>
      <c r="F426" s="83"/>
      <c r="G426" s="83"/>
      <c r="H426" s="83"/>
      <c r="I426" s="42"/>
      <c r="J426" s="54"/>
      <c r="K426" s="40"/>
      <c r="L426" s="42">
        <f>L428+L431+L430</f>
        <v>0</v>
      </c>
    </row>
    <row r="427" spans="1:82" ht="14.25" hidden="1" x14ac:dyDescent="0.2">
      <c r="A427" s="54"/>
      <c r="B427" s="56"/>
      <c r="C427" s="86" t="s">
        <v>455</v>
      </c>
      <c r="D427" s="83"/>
      <c r="E427" s="83"/>
      <c r="F427" s="83"/>
      <c r="G427" s="83"/>
      <c r="H427" s="83"/>
      <c r="I427" s="42"/>
      <c r="J427" s="54"/>
      <c r="K427" s="40"/>
      <c r="L427" s="42"/>
    </row>
    <row r="428" spans="1:82" ht="14.25" hidden="1" x14ac:dyDescent="0.2">
      <c r="A428" s="54"/>
      <c r="B428" s="56"/>
      <c r="C428" s="83" t="s">
        <v>454</v>
      </c>
      <c r="D428" s="83"/>
      <c r="E428" s="83"/>
      <c r="F428" s="83"/>
      <c r="G428" s="83"/>
      <c r="H428" s="83"/>
      <c r="I428" s="42"/>
      <c r="J428" s="54"/>
      <c r="K428" s="40"/>
      <c r="L428" s="42">
        <f>SUM(AO384:AO421)</f>
        <v>0</v>
      </c>
    </row>
    <row r="429" spans="1:82" ht="14.25" hidden="1" x14ac:dyDescent="0.2">
      <c r="A429" s="54"/>
      <c r="B429" s="56"/>
      <c r="C429" s="86" t="s">
        <v>456</v>
      </c>
      <c r="D429" s="83"/>
      <c r="E429" s="83"/>
      <c r="F429" s="83"/>
      <c r="G429" s="83"/>
      <c r="H429" s="83"/>
      <c r="I429" s="42"/>
      <c r="J429" s="54"/>
      <c r="K429" s="40"/>
      <c r="L429" s="42"/>
    </row>
    <row r="430" spans="1:82" ht="14.25" hidden="1" x14ac:dyDescent="0.2">
      <c r="A430" s="54"/>
      <c r="B430" s="56"/>
      <c r="C430" s="83" t="s">
        <v>476</v>
      </c>
      <c r="D430" s="83"/>
      <c r="E430" s="83"/>
      <c r="F430" s="83"/>
      <c r="G430" s="83"/>
      <c r="H430" s="83"/>
      <c r="I430" s="42"/>
      <c r="J430" s="54"/>
      <c r="K430" s="40"/>
      <c r="L430" s="42">
        <f>SUM(AT384:AT421)</f>
        <v>0</v>
      </c>
    </row>
    <row r="431" spans="1:82" ht="14.25" hidden="1" x14ac:dyDescent="0.2">
      <c r="A431" s="54"/>
      <c r="B431" s="56"/>
      <c r="C431" s="83" t="s">
        <v>457</v>
      </c>
      <c r="D431" s="83"/>
      <c r="E431" s="83"/>
      <c r="F431" s="83"/>
      <c r="G431" s="83"/>
      <c r="H431" s="83"/>
      <c r="I431" s="42"/>
      <c r="J431" s="54"/>
      <c r="K431" s="40"/>
      <c r="L431" s="42">
        <f>SUM(AV384:AV421)</f>
        <v>0</v>
      </c>
    </row>
    <row r="432" spans="1:82" ht="14.25" hidden="1" x14ac:dyDescent="0.2">
      <c r="A432" s="54"/>
      <c r="B432" s="56"/>
      <c r="C432" s="83" t="s">
        <v>458</v>
      </c>
      <c r="D432" s="83"/>
      <c r="E432" s="83"/>
      <c r="F432" s="83"/>
      <c r="G432" s="83"/>
      <c r="H432" s="83"/>
      <c r="I432" s="42"/>
      <c r="J432" s="54"/>
      <c r="K432" s="40"/>
      <c r="L432" s="42">
        <f>L434+L435</f>
        <v>0</v>
      </c>
    </row>
    <row r="433" spans="1:12" ht="14.25" hidden="1" x14ac:dyDescent="0.2">
      <c r="A433" s="54"/>
      <c r="B433" s="56"/>
      <c r="C433" s="86" t="s">
        <v>455</v>
      </c>
      <c r="D433" s="83"/>
      <c r="E433" s="83"/>
      <c r="F433" s="83"/>
      <c r="G433" s="83"/>
      <c r="H433" s="83"/>
      <c r="I433" s="42"/>
      <c r="J433" s="54"/>
      <c r="K433" s="40"/>
      <c r="L433" s="42"/>
    </row>
    <row r="434" spans="1:12" ht="14.25" hidden="1" x14ac:dyDescent="0.2">
      <c r="A434" s="54"/>
      <c r="B434" s="56"/>
      <c r="C434" s="83" t="s">
        <v>459</v>
      </c>
      <c r="D434" s="83"/>
      <c r="E434" s="83"/>
      <c r="F434" s="83"/>
      <c r="G434" s="83"/>
      <c r="H434" s="83"/>
      <c r="I434" s="42"/>
      <c r="J434" s="54"/>
      <c r="K434" s="40"/>
      <c r="L434" s="42">
        <f>SUM(AW384:AW421)-SUM(BK384:BK421)</f>
        <v>0</v>
      </c>
    </row>
    <row r="435" spans="1:12" ht="14.25" hidden="1" x14ac:dyDescent="0.2">
      <c r="A435" s="54"/>
      <c r="B435" s="56"/>
      <c r="C435" s="83" t="s">
        <v>460</v>
      </c>
      <c r="D435" s="83"/>
      <c r="E435" s="83"/>
      <c r="F435" s="83"/>
      <c r="G435" s="83"/>
      <c r="H435" s="83"/>
      <c r="I435" s="42"/>
      <c r="J435" s="54"/>
      <c r="K435" s="40"/>
      <c r="L435" s="42">
        <f>SUM(BC384:BC421)</f>
        <v>0</v>
      </c>
    </row>
    <row r="436" spans="1:12" ht="14.25" hidden="1" x14ac:dyDescent="0.2">
      <c r="A436" s="54"/>
      <c r="B436" s="56"/>
      <c r="C436" s="83" t="s">
        <v>461</v>
      </c>
      <c r="D436" s="83"/>
      <c r="E436" s="83"/>
      <c r="F436" s="83"/>
      <c r="G436" s="83"/>
      <c r="H436" s="83"/>
      <c r="I436" s="42"/>
      <c r="J436" s="54"/>
      <c r="K436" s="40"/>
      <c r="L436" s="42">
        <f>SUM(BB384:BB421)</f>
        <v>0</v>
      </c>
    </row>
    <row r="437" spans="1:12" ht="14.25" x14ac:dyDescent="0.2">
      <c r="A437" s="54"/>
      <c r="B437" s="56"/>
      <c r="C437" s="83" t="s">
        <v>462</v>
      </c>
      <c r="D437" s="83"/>
      <c r="E437" s="83"/>
      <c r="F437" s="83"/>
      <c r="G437" s="83"/>
      <c r="H437" s="83"/>
      <c r="I437" s="42"/>
      <c r="J437" s="54"/>
      <c r="K437" s="40"/>
      <c r="L437" s="42">
        <f>SUM(AR384:AR421)+SUM(AT384:AT421)+SUM(AV384:AV421)</f>
        <v>14636.800000000001</v>
      </c>
    </row>
    <row r="438" spans="1:12" ht="14.25" x14ac:dyDescent="0.2">
      <c r="A438" s="54"/>
      <c r="B438" s="56"/>
      <c r="C438" s="83" t="s">
        <v>463</v>
      </c>
      <c r="D438" s="83"/>
      <c r="E438" s="83"/>
      <c r="F438" s="83"/>
      <c r="G438" s="83"/>
      <c r="H438" s="83"/>
      <c r="I438" s="42"/>
      <c r="J438" s="54"/>
      <c r="K438" s="40"/>
      <c r="L438" s="42">
        <f>SUM(AZ384:AZ421)</f>
        <v>10831.239999999998</v>
      </c>
    </row>
    <row r="439" spans="1:12" ht="14.25" x14ac:dyDescent="0.2">
      <c r="A439" s="54"/>
      <c r="B439" s="56"/>
      <c r="C439" s="83" t="s">
        <v>464</v>
      </c>
      <c r="D439" s="83"/>
      <c r="E439" s="83"/>
      <c r="F439" s="83"/>
      <c r="G439" s="83"/>
      <c r="H439" s="83"/>
      <c r="I439" s="42"/>
      <c r="J439" s="54"/>
      <c r="K439" s="40"/>
      <c r="L439" s="42">
        <f>SUM(BA384:BA421)</f>
        <v>5269.24</v>
      </c>
    </row>
    <row r="440" spans="1:12" ht="14.25" hidden="1" x14ac:dyDescent="0.2">
      <c r="A440" s="54"/>
      <c r="B440" s="56"/>
      <c r="C440" s="83" t="s">
        <v>465</v>
      </c>
      <c r="D440" s="83"/>
      <c r="E440" s="83"/>
      <c r="F440" s="83"/>
      <c r="G440" s="83"/>
      <c r="H440" s="83"/>
      <c r="I440" s="42"/>
      <c r="J440" s="54"/>
      <c r="K440" s="40"/>
      <c r="L440" s="42">
        <f>L442+L443</f>
        <v>0</v>
      </c>
    </row>
    <row r="441" spans="1:12" ht="14.25" hidden="1" x14ac:dyDescent="0.2">
      <c r="A441" s="54"/>
      <c r="B441" s="56"/>
      <c r="C441" s="86" t="s">
        <v>452</v>
      </c>
      <c r="D441" s="83"/>
      <c r="E441" s="83"/>
      <c r="F441" s="83"/>
      <c r="G441" s="83"/>
      <c r="H441" s="83"/>
      <c r="I441" s="42"/>
      <c r="J441" s="54"/>
      <c r="K441" s="40"/>
      <c r="L441" s="42"/>
    </row>
    <row r="442" spans="1:12" ht="14.25" hidden="1" x14ac:dyDescent="0.2">
      <c r="A442" s="54"/>
      <c r="B442" s="56"/>
      <c r="C442" s="83" t="s">
        <v>466</v>
      </c>
      <c r="D442" s="83"/>
      <c r="E442" s="83"/>
      <c r="F442" s="83"/>
      <c r="G442" s="83"/>
      <c r="H442" s="83"/>
      <c r="I442" s="42"/>
      <c r="J442" s="54"/>
      <c r="K442" s="40"/>
      <c r="L442" s="42">
        <f>SUM(BK384:BK421)</f>
        <v>0</v>
      </c>
    </row>
    <row r="443" spans="1:12" ht="14.25" hidden="1" x14ac:dyDescent="0.2">
      <c r="A443" s="54"/>
      <c r="B443" s="56"/>
      <c r="C443" s="83" t="s">
        <v>467</v>
      </c>
      <c r="D443" s="83"/>
      <c r="E443" s="83"/>
      <c r="F443" s="83"/>
      <c r="G443" s="83"/>
      <c r="H443" s="83"/>
      <c r="I443" s="42"/>
      <c r="J443" s="54"/>
      <c r="K443" s="40"/>
      <c r="L443" s="42">
        <f>SUM(BD384:BD421)</f>
        <v>0</v>
      </c>
    </row>
    <row r="444" spans="1:12" ht="14.25" hidden="1" x14ac:dyDescent="0.2">
      <c r="A444" s="54"/>
      <c r="B444" s="56"/>
      <c r="C444" s="83" t="s">
        <v>468</v>
      </c>
      <c r="D444" s="83"/>
      <c r="E444" s="83"/>
      <c r="F444" s="83"/>
      <c r="G444" s="83"/>
      <c r="H444" s="83"/>
      <c r="I444" s="42"/>
      <c r="J444" s="54"/>
      <c r="K444" s="40"/>
      <c r="L444" s="42"/>
    </row>
    <row r="445" spans="1:12" ht="14.25" hidden="1" x14ac:dyDescent="0.2">
      <c r="A445" s="54"/>
      <c r="B445" s="56"/>
      <c r="C445" s="83" t="s">
        <v>469</v>
      </c>
      <c r="D445" s="83"/>
      <c r="E445" s="83"/>
      <c r="F445" s="83"/>
      <c r="G445" s="83"/>
      <c r="H445" s="83"/>
      <c r="I445" s="42"/>
      <c r="J445" s="54"/>
      <c r="K445" s="40"/>
      <c r="L445" s="42">
        <f>SUM(BO384:BO421)</f>
        <v>0</v>
      </c>
    </row>
    <row r="446" spans="1:12" ht="15" x14ac:dyDescent="0.2">
      <c r="A446" s="57"/>
      <c r="B446" s="58"/>
      <c r="C446" s="87" t="s">
        <v>470</v>
      </c>
      <c r="D446" s="87"/>
      <c r="E446" s="87"/>
      <c r="F446" s="87"/>
      <c r="G446" s="87"/>
      <c r="H446" s="87"/>
      <c r="I446" s="45"/>
      <c r="J446" s="57"/>
      <c r="K446" s="59"/>
      <c r="L446" s="45">
        <f>L423+L438+L439+L440+L444+L445</f>
        <v>30737.279999999999</v>
      </c>
    </row>
    <row r="447" spans="1:12" ht="14.25" x14ac:dyDescent="0.2">
      <c r="A447" s="54"/>
      <c r="B447" s="56"/>
      <c r="C447" s="86" t="s">
        <v>471</v>
      </c>
      <c r="D447" s="83"/>
      <c r="E447" s="83"/>
      <c r="F447" s="83"/>
      <c r="G447" s="83"/>
      <c r="H447" s="83"/>
      <c r="I447" s="42"/>
      <c r="J447" s="54"/>
      <c r="K447" s="40"/>
      <c r="L447" s="42"/>
    </row>
    <row r="448" spans="1:12" ht="14.25" hidden="1" x14ac:dyDescent="0.2">
      <c r="A448" s="54"/>
      <c r="B448" s="56"/>
      <c r="C448" s="83" t="s">
        <v>472</v>
      </c>
      <c r="D448" s="83"/>
      <c r="E448" s="83"/>
      <c r="F448" s="83"/>
      <c r="G448" s="83"/>
      <c r="H448" s="83"/>
      <c r="I448" s="42"/>
      <c r="J448" s="54"/>
      <c r="K448" s="40"/>
      <c r="L448" s="42">
        <f>SUM(AX384:AX421)</f>
        <v>0</v>
      </c>
    </row>
    <row r="449" spans="1:12" ht="14.25" hidden="1" x14ac:dyDescent="0.2">
      <c r="A449" s="54"/>
      <c r="B449" s="56"/>
      <c r="C449" s="83" t="s">
        <v>473</v>
      </c>
      <c r="D449" s="83"/>
      <c r="E449" s="83"/>
      <c r="F449" s="83"/>
      <c r="G449" s="83"/>
      <c r="H449" s="83"/>
      <c r="I449" s="42"/>
      <c r="J449" s="54"/>
      <c r="K449" s="40"/>
      <c r="L449" s="42">
        <f>SUM(AY384:AY421)</f>
        <v>0</v>
      </c>
    </row>
    <row r="450" spans="1:12" ht="14.25" x14ac:dyDescent="0.2">
      <c r="A450" s="54"/>
      <c r="B450" s="56"/>
      <c r="C450" s="83" t="s">
        <v>474</v>
      </c>
      <c r="D450" s="83"/>
      <c r="E450" s="83"/>
      <c r="F450" s="84"/>
      <c r="G450" s="44">
        <f>Source!F248</f>
        <v>23.738</v>
      </c>
      <c r="H450" s="54"/>
      <c r="I450" s="54"/>
      <c r="J450" s="54"/>
      <c r="K450" s="54"/>
      <c r="L450" s="54"/>
    </row>
    <row r="451" spans="1:12" ht="14.25" hidden="1" customHeight="1" x14ac:dyDescent="0.2">
      <c r="A451" s="54"/>
      <c r="B451" s="56"/>
      <c r="C451" s="83" t="s">
        <v>475</v>
      </c>
      <c r="D451" s="83"/>
      <c r="E451" s="83"/>
      <c r="F451" s="84"/>
      <c r="G451" s="44">
        <f>Source!F249</f>
        <v>0</v>
      </c>
      <c r="H451" s="54"/>
      <c r="I451" s="54"/>
      <c r="J451" s="54"/>
      <c r="K451" s="54"/>
      <c r="L451" s="54"/>
    </row>
    <row r="453" spans="1:12" hidden="1" x14ac:dyDescent="0.2"/>
    <row r="454" spans="1:12" ht="15" hidden="1" x14ac:dyDescent="0.2">
      <c r="A454" s="65"/>
      <c r="B454" s="66"/>
      <c r="C454" s="88" t="s">
        <v>497</v>
      </c>
      <c r="D454" s="88"/>
      <c r="E454" s="88"/>
      <c r="F454" s="88"/>
      <c r="G454" s="88"/>
      <c r="H454" s="88"/>
      <c r="I454" s="55"/>
      <c r="J454" s="65"/>
      <c r="K454" s="67"/>
      <c r="L454" s="55"/>
    </row>
    <row r="455" spans="1:12" hidden="1" x14ac:dyDescent="0.2"/>
    <row r="456" spans="1:12" ht="15" hidden="1" x14ac:dyDescent="0.2">
      <c r="A456" s="57"/>
      <c r="B456" s="58"/>
      <c r="C456" s="87" t="s">
        <v>498</v>
      </c>
      <c r="D456" s="87"/>
      <c r="E456" s="87"/>
      <c r="F456" s="87"/>
      <c r="G456" s="87"/>
      <c r="H456" s="87"/>
      <c r="I456" s="45"/>
      <c r="J456" s="57"/>
      <c r="K456" s="59"/>
      <c r="L456" s="45">
        <f>L458+L473+L474</f>
        <v>2703224.1399999997</v>
      </c>
    </row>
    <row r="457" spans="1:12" ht="14.25" hidden="1" x14ac:dyDescent="0.2">
      <c r="A457" s="54"/>
      <c r="B457" s="56"/>
      <c r="C457" s="86" t="s">
        <v>452</v>
      </c>
      <c r="D457" s="83"/>
      <c r="E457" s="83"/>
      <c r="F457" s="83"/>
      <c r="G457" s="83"/>
      <c r="H457" s="83"/>
      <c r="I457" s="42"/>
      <c r="J457" s="54"/>
      <c r="K457" s="40"/>
      <c r="L457" s="42"/>
    </row>
    <row r="458" spans="1:12" ht="14.25" hidden="1" x14ac:dyDescent="0.2">
      <c r="A458" s="54"/>
      <c r="B458" s="56"/>
      <c r="C458" s="83" t="s">
        <v>499</v>
      </c>
      <c r="D458" s="83"/>
      <c r="E458" s="83"/>
      <c r="F458" s="83"/>
      <c r="G458" s="83"/>
      <c r="H458" s="83"/>
      <c r="I458" s="42"/>
      <c r="J458" s="54"/>
      <c r="K458" s="40"/>
      <c r="L458" s="42">
        <f>L460+L461+L467+L471</f>
        <v>1378203.7000000002</v>
      </c>
    </row>
    <row r="459" spans="1:12" ht="14.25" hidden="1" x14ac:dyDescent="0.2">
      <c r="A459" s="54"/>
      <c r="B459" s="56"/>
      <c r="C459" s="86" t="s">
        <v>452</v>
      </c>
      <c r="D459" s="83"/>
      <c r="E459" s="83"/>
      <c r="F459" s="83"/>
      <c r="G459" s="83"/>
      <c r="H459" s="83"/>
      <c r="I459" s="42"/>
      <c r="J459" s="54"/>
      <c r="K459" s="40"/>
      <c r="L459" s="42"/>
    </row>
    <row r="460" spans="1:12" ht="14.25" hidden="1" x14ac:dyDescent="0.2">
      <c r="A460" s="54"/>
      <c r="B460" s="56"/>
      <c r="C460" s="83" t="s">
        <v>500</v>
      </c>
      <c r="D460" s="83"/>
      <c r="E460" s="83"/>
      <c r="F460" s="83"/>
      <c r="G460" s="83"/>
      <c r="H460" s="83"/>
      <c r="I460" s="42"/>
      <c r="J460" s="54"/>
      <c r="K460" s="40"/>
      <c r="L460" s="42">
        <f>SUMIF(CD53:CD452, 1, AR53:AR452)</f>
        <v>928455.89000000013</v>
      </c>
    </row>
    <row r="461" spans="1:12" ht="14.25" hidden="1" x14ac:dyDescent="0.2">
      <c r="A461" s="54"/>
      <c r="B461" s="56"/>
      <c r="C461" s="83" t="s">
        <v>454</v>
      </c>
      <c r="D461" s="83"/>
      <c r="E461" s="83"/>
      <c r="F461" s="83"/>
      <c r="G461" s="83"/>
      <c r="H461" s="83"/>
      <c r="I461" s="42"/>
      <c r="J461" s="54"/>
      <c r="K461" s="40"/>
      <c r="L461" s="42">
        <f>L463+L466+L465</f>
        <v>30435.150000000005</v>
      </c>
    </row>
    <row r="462" spans="1:12" ht="14.25" hidden="1" x14ac:dyDescent="0.2">
      <c r="A462" s="54"/>
      <c r="B462" s="56"/>
      <c r="C462" s="86" t="s">
        <v>455</v>
      </c>
      <c r="D462" s="83"/>
      <c r="E462" s="83"/>
      <c r="F462" s="83"/>
      <c r="G462" s="83"/>
      <c r="H462" s="83"/>
      <c r="I462" s="42"/>
      <c r="J462" s="54"/>
      <c r="K462" s="40"/>
      <c r="L462" s="42"/>
    </row>
    <row r="463" spans="1:12" ht="14.25" hidden="1" x14ac:dyDescent="0.2">
      <c r="A463" s="54"/>
      <c r="B463" s="56"/>
      <c r="C463" s="83" t="s">
        <v>454</v>
      </c>
      <c r="D463" s="83"/>
      <c r="E463" s="83"/>
      <c r="F463" s="83"/>
      <c r="G463" s="83"/>
      <c r="H463" s="83"/>
      <c r="I463" s="42"/>
      <c r="J463" s="54"/>
      <c r="K463" s="40"/>
      <c r="L463" s="42">
        <f>SUMIF(CD53:CD452, 1, AO53:AO452)</f>
        <v>22017.310000000005</v>
      </c>
    </row>
    <row r="464" spans="1:12" ht="14.25" hidden="1" x14ac:dyDescent="0.2">
      <c r="A464" s="54"/>
      <c r="B464" s="56"/>
      <c r="C464" s="86" t="s">
        <v>456</v>
      </c>
      <c r="D464" s="83"/>
      <c r="E464" s="83"/>
      <c r="F464" s="83"/>
      <c r="G464" s="83"/>
      <c r="H464" s="83"/>
      <c r="I464" s="42"/>
      <c r="J464" s="54"/>
      <c r="K464" s="40"/>
      <c r="L464" s="42"/>
    </row>
    <row r="465" spans="1:12" ht="14.25" hidden="1" x14ac:dyDescent="0.2">
      <c r="A465" s="54"/>
      <c r="B465" s="56"/>
      <c r="C465" s="83" t="s">
        <v>476</v>
      </c>
      <c r="D465" s="83"/>
      <c r="E465" s="83"/>
      <c r="F465" s="83"/>
      <c r="G465" s="83"/>
      <c r="H465" s="83"/>
      <c r="I465" s="42"/>
      <c r="J465" s="54"/>
      <c r="K465" s="40"/>
      <c r="L465" s="42">
        <f>SUMIF(CD53:CD452, 1, AT53:AT452)</f>
        <v>8417.84</v>
      </c>
    </row>
    <row r="466" spans="1:12" ht="14.25" hidden="1" x14ac:dyDescent="0.2">
      <c r="A466" s="54"/>
      <c r="B466" s="56"/>
      <c r="C466" s="83" t="s">
        <v>457</v>
      </c>
      <c r="D466" s="83"/>
      <c r="E466" s="83"/>
      <c r="F466" s="83"/>
      <c r="G466" s="83"/>
      <c r="H466" s="83"/>
      <c r="I466" s="42"/>
      <c r="J466" s="54"/>
      <c r="K466" s="40"/>
      <c r="L466" s="42">
        <f>SUMIF(CD53:CD452, 1, AV53:AV452)</f>
        <v>0</v>
      </c>
    </row>
    <row r="467" spans="1:12" ht="14.25" hidden="1" x14ac:dyDescent="0.2">
      <c r="A467" s="54"/>
      <c r="B467" s="56"/>
      <c r="C467" s="83" t="s">
        <v>458</v>
      </c>
      <c r="D467" s="83"/>
      <c r="E467" s="83"/>
      <c r="F467" s="83"/>
      <c r="G467" s="83"/>
      <c r="H467" s="83"/>
      <c r="I467" s="42"/>
      <c r="J467" s="54"/>
      <c r="K467" s="40"/>
      <c r="L467" s="42">
        <f>L469+L470</f>
        <v>419312.66</v>
      </c>
    </row>
    <row r="468" spans="1:12" ht="14.25" hidden="1" x14ac:dyDescent="0.2">
      <c r="A468" s="54"/>
      <c r="B468" s="56"/>
      <c r="C468" s="86" t="s">
        <v>455</v>
      </c>
      <c r="D468" s="83"/>
      <c r="E468" s="83"/>
      <c r="F468" s="83"/>
      <c r="G468" s="83"/>
      <c r="H468" s="83"/>
      <c r="I468" s="42"/>
      <c r="J468" s="54"/>
      <c r="K468" s="40"/>
      <c r="L468" s="42"/>
    </row>
    <row r="469" spans="1:12" ht="14.25" hidden="1" x14ac:dyDescent="0.2">
      <c r="A469" s="54"/>
      <c r="B469" s="56"/>
      <c r="C469" s="83" t="s">
        <v>459</v>
      </c>
      <c r="D469" s="83"/>
      <c r="E469" s="83"/>
      <c r="F469" s="83"/>
      <c r="G469" s="83"/>
      <c r="H469" s="83"/>
      <c r="I469" s="42"/>
      <c r="J469" s="54"/>
      <c r="K469" s="40"/>
      <c r="L469" s="42">
        <f>SUMIF(CD53:CD452, 1, AW53:AW452)-SUMIF(CD53:CD452, 1, BK53:BK452)</f>
        <v>419312.66</v>
      </c>
    </row>
    <row r="470" spans="1:12" ht="14.25" hidden="1" x14ac:dyDescent="0.2">
      <c r="A470" s="54"/>
      <c r="B470" s="56"/>
      <c r="C470" s="83" t="s">
        <v>460</v>
      </c>
      <c r="D470" s="83"/>
      <c r="E470" s="83"/>
      <c r="F470" s="83"/>
      <c r="G470" s="83"/>
      <c r="H470" s="83"/>
      <c r="I470" s="42"/>
      <c r="J470" s="54"/>
      <c r="K470" s="40"/>
      <c r="L470" s="42">
        <f>SUMIF(CD53:CD452, 1, BC53:BC452)</f>
        <v>0</v>
      </c>
    </row>
    <row r="471" spans="1:12" ht="14.25" hidden="1" x14ac:dyDescent="0.2">
      <c r="A471" s="54"/>
      <c r="B471" s="56"/>
      <c r="C471" s="83" t="s">
        <v>461</v>
      </c>
      <c r="D471" s="83"/>
      <c r="E471" s="83"/>
      <c r="F471" s="83"/>
      <c r="G471" s="83"/>
      <c r="H471" s="83"/>
      <c r="I471" s="42"/>
      <c r="J471" s="54"/>
      <c r="K471" s="40"/>
      <c r="L471" s="42">
        <f>SUMIF(CD53:CD452, 1, BB53:BB452)</f>
        <v>0</v>
      </c>
    </row>
    <row r="472" spans="1:12" ht="14.25" hidden="1" x14ac:dyDescent="0.2">
      <c r="A472" s="54"/>
      <c r="B472" s="56"/>
      <c r="C472" s="83" t="s">
        <v>501</v>
      </c>
      <c r="D472" s="83"/>
      <c r="E472" s="83"/>
      <c r="F472" s="83"/>
      <c r="G472" s="83"/>
      <c r="H472" s="83"/>
      <c r="I472" s="42"/>
      <c r="J472" s="54"/>
      <c r="K472" s="40"/>
      <c r="L472" s="42">
        <f>SUMIF(CD53:CD452, 1, AR53:AR452)+SUMIF(CD53:CD452, 1, AT53:AT452)+SUMIF(CD53:CD452, 1, AV53:AV452)</f>
        <v>936873.7300000001</v>
      </c>
    </row>
    <row r="473" spans="1:12" ht="14.25" hidden="1" x14ac:dyDescent="0.2">
      <c r="A473" s="54"/>
      <c r="B473" s="56"/>
      <c r="C473" s="83" t="s">
        <v>502</v>
      </c>
      <c r="D473" s="83"/>
      <c r="E473" s="83"/>
      <c r="F473" s="83"/>
      <c r="G473" s="83"/>
      <c r="H473" s="83"/>
      <c r="I473" s="42"/>
      <c r="J473" s="54"/>
      <c r="K473" s="40"/>
      <c r="L473" s="42">
        <f>SUMIF(CD53:CD452, 1, AZ53:AZ452)</f>
        <v>869259.92999999993</v>
      </c>
    </row>
    <row r="474" spans="1:12" ht="14.25" hidden="1" x14ac:dyDescent="0.2">
      <c r="A474" s="54"/>
      <c r="B474" s="56"/>
      <c r="C474" s="83" t="s">
        <v>503</v>
      </c>
      <c r="D474" s="83"/>
      <c r="E474" s="83"/>
      <c r="F474" s="83"/>
      <c r="G474" s="83"/>
      <c r="H474" s="83"/>
      <c r="I474" s="42"/>
      <c r="J474" s="54"/>
      <c r="K474" s="40"/>
      <c r="L474" s="42">
        <f>SUMIF(CD53:CD452, 1, BA53:BA452)</f>
        <v>455760.51</v>
      </c>
    </row>
    <row r="475" spans="1:12" hidden="1" x14ac:dyDescent="0.2"/>
    <row r="476" spans="1:12" ht="15" hidden="1" x14ac:dyDescent="0.2">
      <c r="A476" s="57"/>
      <c r="B476" s="58"/>
      <c r="C476" s="87" t="s">
        <v>504</v>
      </c>
      <c r="D476" s="87"/>
      <c r="E476" s="87"/>
      <c r="F476" s="87"/>
      <c r="G476" s="87"/>
      <c r="H476" s="87"/>
      <c r="I476" s="45"/>
      <c r="J476" s="57"/>
      <c r="K476" s="59"/>
      <c r="L476" s="45">
        <f>L478+L493+L494</f>
        <v>6633851.7999999989</v>
      </c>
    </row>
    <row r="477" spans="1:12" ht="14.25" hidden="1" x14ac:dyDescent="0.2">
      <c r="A477" s="54"/>
      <c r="B477" s="56"/>
      <c r="C477" s="86" t="s">
        <v>452</v>
      </c>
      <c r="D477" s="83"/>
      <c r="E477" s="83"/>
      <c r="F477" s="83"/>
      <c r="G477" s="83"/>
      <c r="H477" s="83"/>
      <c r="I477" s="42"/>
      <c r="J477" s="54"/>
      <c r="K477" s="40"/>
      <c r="L477" s="42"/>
    </row>
    <row r="478" spans="1:12" ht="14.25" hidden="1" x14ac:dyDescent="0.2">
      <c r="A478" s="54"/>
      <c r="B478" s="56"/>
      <c r="C478" s="83" t="s">
        <v>499</v>
      </c>
      <c r="D478" s="83"/>
      <c r="E478" s="83"/>
      <c r="F478" s="83"/>
      <c r="G478" s="83"/>
      <c r="H478" s="83"/>
      <c r="I478" s="42"/>
      <c r="J478" s="54"/>
      <c r="K478" s="40"/>
      <c r="L478" s="42">
        <f>L480+L481+L487+L491</f>
        <v>5914938.879999999</v>
      </c>
    </row>
    <row r="479" spans="1:12" ht="14.25" hidden="1" x14ac:dyDescent="0.2">
      <c r="A479" s="54"/>
      <c r="B479" s="56"/>
      <c r="C479" s="86" t="s">
        <v>452</v>
      </c>
      <c r="D479" s="83"/>
      <c r="E479" s="83"/>
      <c r="F479" s="83"/>
      <c r="G479" s="83"/>
      <c r="H479" s="83"/>
      <c r="I479" s="42"/>
      <c r="J479" s="54"/>
      <c r="K479" s="40"/>
      <c r="L479" s="42"/>
    </row>
    <row r="480" spans="1:12" ht="14.25" hidden="1" x14ac:dyDescent="0.2">
      <c r="A480" s="54"/>
      <c r="B480" s="56"/>
      <c r="C480" s="83" t="s">
        <v>500</v>
      </c>
      <c r="D480" s="83"/>
      <c r="E480" s="83"/>
      <c r="F480" s="83"/>
      <c r="G480" s="83"/>
      <c r="H480" s="83"/>
      <c r="I480" s="42"/>
      <c r="J480" s="54"/>
      <c r="K480" s="40"/>
      <c r="L480" s="42">
        <f>SUMIF(CD53:CD474, 2, AR53:AR474)</f>
        <v>403477.70999999996</v>
      </c>
    </row>
    <row r="481" spans="1:12" ht="14.25" hidden="1" x14ac:dyDescent="0.2">
      <c r="A481" s="54"/>
      <c r="B481" s="56"/>
      <c r="C481" s="83" t="s">
        <v>454</v>
      </c>
      <c r="D481" s="83"/>
      <c r="E481" s="83"/>
      <c r="F481" s="83"/>
      <c r="G481" s="83"/>
      <c r="H481" s="83"/>
      <c r="I481" s="42"/>
      <c r="J481" s="54"/>
      <c r="K481" s="40"/>
      <c r="L481" s="42">
        <f>L483+L486+L485</f>
        <v>217242.02000000002</v>
      </c>
    </row>
    <row r="482" spans="1:12" ht="14.25" hidden="1" x14ac:dyDescent="0.2">
      <c r="A482" s="54"/>
      <c r="B482" s="56"/>
      <c r="C482" s="86" t="s">
        <v>455</v>
      </c>
      <c r="D482" s="83"/>
      <c r="E482" s="83"/>
      <c r="F482" s="83"/>
      <c r="G482" s="83"/>
      <c r="H482" s="83"/>
      <c r="I482" s="42"/>
      <c r="J482" s="54"/>
      <c r="K482" s="40"/>
      <c r="L482" s="42"/>
    </row>
    <row r="483" spans="1:12" ht="14.25" hidden="1" x14ac:dyDescent="0.2">
      <c r="A483" s="54"/>
      <c r="B483" s="56"/>
      <c r="C483" s="83" t="s">
        <v>454</v>
      </c>
      <c r="D483" s="83"/>
      <c r="E483" s="83"/>
      <c r="F483" s="83"/>
      <c r="G483" s="83"/>
      <c r="H483" s="83"/>
      <c r="I483" s="42"/>
      <c r="J483" s="54"/>
      <c r="K483" s="40"/>
      <c r="L483" s="42">
        <f>SUMIF(CD53:CD474, 2, AO53:AO474)</f>
        <v>134967.75000000003</v>
      </c>
    </row>
    <row r="484" spans="1:12" ht="14.25" hidden="1" x14ac:dyDescent="0.2">
      <c r="A484" s="54"/>
      <c r="B484" s="56"/>
      <c r="C484" s="86" t="s">
        <v>456</v>
      </c>
      <c r="D484" s="83"/>
      <c r="E484" s="83"/>
      <c r="F484" s="83"/>
      <c r="G484" s="83"/>
      <c r="H484" s="83"/>
      <c r="I484" s="42"/>
      <c r="J484" s="54"/>
      <c r="K484" s="40"/>
      <c r="L484" s="42"/>
    </row>
    <row r="485" spans="1:12" ht="14.25" hidden="1" x14ac:dyDescent="0.2">
      <c r="A485" s="54"/>
      <c r="B485" s="56"/>
      <c r="C485" s="83" t="s">
        <v>476</v>
      </c>
      <c r="D485" s="83"/>
      <c r="E485" s="83"/>
      <c r="F485" s="83"/>
      <c r="G485" s="83"/>
      <c r="H485" s="83"/>
      <c r="I485" s="42"/>
      <c r="J485" s="54"/>
      <c r="K485" s="40"/>
      <c r="L485" s="42">
        <f>SUMIF(CD53:CD474, 2, AT53:AT474)</f>
        <v>82274.27</v>
      </c>
    </row>
    <row r="486" spans="1:12" ht="14.25" hidden="1" x14ac:dyDescent="0.2">
      <c r="A486" s="54"/>
      <c r="B486" s="56"/>
      <c r="C486" s="83" t="s">
        <v>457</v>
      </c>
      <c r="D486" s="83"/>
      <c r="E486" s="83"/>
      <c r="F486" s="83"/>
      <c r="G486" s="83"/>
      <c r="H486" s="83"/>
      <c r="I486" s="42"/>
      <c r="J486" s="54"/>
      <c r="K486" s="40"/>
      <c r="L486" s="42">
        <f>SUMIF(CD53:CD474, 2, AV53:AV474)</f>
        <v>0</v>
      </c>
    </row>
    <row r="487" spans="1:12" ht="14.25" hidden="1" x14ac:dyDescent="0.2">
      <c r="A487" s="54"/>
      <c r="B487" s="56"/>
      <c r="C487" s="83" t="s">
        <v>458</v>
      </c>
      <c r="D487" s="83"/>
      <c r="E487" s="83"/>
      <c r="F487" s="83"/>
      <c r="G487" s="83"/>
      <c r="H487" s="83"/>
      <c r="I487" s="42"/>
      <c r="J487" s="54"/>
      <c r="K487" s="40"/>
      <c r="L487" s="42">
        <f>L489+L490</f>
        <v>5294219.1499999994</v>
      </c>
    </row>
    <row r="488" spans="1:12" ht="14.25" hidden="1" x14ac:dyDescent="0.2">
      <c r="A488" s="54"/>
      <c r="B488" s="56"/>
      <c r="C488" s="86" t="s">
        <v>455</v>
      </c>
      <c r="D488" s="83"/>
      <c r="E488" s="83"/>
      <c r="F488" s="83"/>
      <c r="G488" s="83"/>
      <c r="H488" s="83"/>
      <c r="I488" s="42"/>
      <c r="J488" s="54"/>
      <c r="K488" s="40"/>
      <c r="L488" s="42"/>
    </row>
    <row r="489" spans="1:12" ht="14.25" hidden="1" x14ac:dyDescent="0.2">
      <c r="A489" s="54"/>
      <c r="B489" s="56"/>
      <c r="C489" s="83" t="s">
        <v>459</v>
      </c>
      <c r="D489" s="83"/>
      <c r="E489" s="83"/>
      <c r="F489" s="83"/>
      <c r="G489" s="83"/>
      <c r="H489" s="83"/>
      <c r="I489" s="42"/>
      <c r="J489" s="54"/>
      <c r="K489" s="40"/>
      <c r="L489" s="42">
        <f>SUMIF(CD53:CD474, 2, AW53:AW474)-SUMIF(CD53:CD474, 2, BK53:BK474)</f>
        <v>5294219.1499999994</v>
      </c>
    </row>
    <row r="490" spans="1:12" ht="14.25" hidden="1" x14ac:dyDescent="0.2">
      <c r="A490" s="54"/>
      <c r="B490" s="56"/>
      <c r="C490" s="83" t="s">
        <v>460</v>
      </c>
      <c r="D490" s="83"/>
      <c r="E490" s="83"/>
      <c r="F490" s="83"/>
      <c r="G490" s="83"/>
      <c r="H490" s="83"/>
      <c r="I490" s="42"/>
      <c r="J490" s="54"/>
      <c r="K490" s="40"/>
      <c r="L490" s="42">
        <f>SUMIF(CD53:CD474, 2, BC53:BC474)</f>
        <v>0</v>
      </c>
    </row>
    <row r="491" spans="1:12" ht="14.25" hidden="1" x14ac:dyDescent="0.2">
      <c r="A491" s="54"/>
      <c r="B491" s="56"/>
      <c r="C491" s="83" t="s">
        <v>461</v>
      </c>
      <c r="D491" s="83"/>
      <c r="E491" s="83"/>
      <c r="F491" s="83"/>
      <c r="G491" s="83"/>
      <c r="H491" s="83"/>
      <c r="I491" s="42"/>
      <c r="J491" s="54"/>
      <c r="K491" s="40"/>
      <c r="L491" s="42">
        <f>SUMIF(CD53:CD474, 2, BB53:BB474)</f>
        <v>0</v>
      </c>
    </row>
    <row r="492" spans="1:12" ht="14.25" hidden="1" x14ac:dyDescent="0.2">
      <c r="A492" s="54"/>
      <c r="B492" s="56"/>
      <c r="C492" s="83" t="s">
        <v>501</v>
      </c>
      <c r="D492" s="83"/>
      <c r="E492" s="83"/>
      <c r="F492" s="83"/>
      <c r="G492" s="83"/>
      <c r="H492" s="83"/>
      <c r="I492" s="42"/>
      <c r="J492" s="54"/>
      <c r="K492" s="40"/>
      <c r="L492" s="42">
        <f>SUMIF(CD53:CD474, 2, AR53:AR474)+SUMIF(CD53:CD474, 2, AT53:AT474)+SUMIF(CD53:CD474, 2, AV53:AV474)</f>
        <v>485751.98</v>
      </c>
    </row>
    <row r="493" spans="1:12" ht="14.25" hidden="1" x14ac:dyDescent="0.2">
      <c r="A493" s="54"/>
      <c r="B493" s="56"/>
      <c r="C493" s="83" t="s">
        <v>502</v>
      </c>
      <c r="D493" s="83"/>
      <c r="E493" s="83"/>
      <c r="F493" s="83"/>
      <c r="G493" s="83"/>
      <c r="H493" s="83"/>
      <c r="I493" s="42"/>
      <c r="J493" s="54"/>
      <c r="K493" s="40"/>
      <c r="L493" s="42">
        <f>SUMIF(CD53:CD474, 2, AZ53:AZ474)</f>
        <v>471179.41999999993</v>
      </c>
    </row>
    <row r="494" spans="1:12" ht="14.25" hidden="1" x14ac:dyDescent="0.2">
      <c r="A494" s="54"/>
      <c r="B494" s="56"/>
      <c r="C494" s="83" t="s">
        <v>503</v>
      </c>
      <c r="D494" s="83"/>
      <c r="E494" s="83"/>
      <c r="F494" s="83"/>
      <c r="G494" s="83"/>
      <c r="H494" s="83"/>
      <c r="I494" s="42"/>
      <c r="J494" s="54"/>
      <c r="K494" s="40"/>
      <c r="L494" s="42">
        <f>SUMIF(CD53:CD474, 2, BA53:BA474)</f>
        <v>247733.5</v>
      </c>
    </row>
    <row r="495" spans="1:12" hidden="1" x14ac:dyDescent="0.2"/>
    <row r="496" spans="1:12" ht="15" hidden="1" x14ac:dyDescent="0.2">
      <c r="A496" s="57"/>
      <c r="B496" s="58"/>
      <c r="C496" s="87" t="s">
        <v>505</v>
      </c>
      <c r="D496" s="87"/>
      <c r="E496" s="87"/>
      <c r="F496" s="87"/>
      <c r="G496" s="87"/>
      <c r="H496" s="87"/>
      <c r="I496" s="45"/>
      <c r="J496" s="57"/>
      <c r="K496" s="59"/>
      <c r="L496" s="45">
        <f>L498+L499</f>
        <v>0</v>
      </c>
    </row>
    <row r="497" spans="1:12" ht="14.25" hidden="1" x14ac:dyDescent="0.2">
      <c r="A497" s="54"/>
      <c r="B497" s="56"/>
      <c r="C497" s="86" t="s">
        <v>452</v>
      </c>
      <c r="D497" s="83"/>
      <c r="E497" s="83"/>
      <c r="F497" s="83"/>
      <c r="G497" s="83"/>
      <c r="H497" s="83"/>
      <c r="I497" s="42"/>
      <c r="J497" s="54"/>
      <c r="K497" s="40"/>
      <c r="L497" s="42"/>
    </row>
    <row r="498" spans="1:12" ht="14.25" hidden="1" x14ac:dyDescent="0.2">
      <c r="A498" s="54"/>
      <c r="B498" s="56"/>
      <c r="C498" s="83" t="s">
        <v>466</v>
      </c>
      <c r="D498" s="83"/>
      <c r="E498" s="83"/>
      <c r="F498" s="83"/>
      <c r="G498" s="83"/>
      <c r="H498" s="83"/>
      <c r="I498" s="42"/>
      <c r="J498" s="54"/>
      <c r="K498" s="40"/>
      <c r="L498" s="42">
        <f>SUMIF(CD53:CD494, 3, BK53:BK494)</f>
        <v>0</v>
      </c>
    </row>
    <row r="499" spans="1:12" ht="14.25" hidden="1" x14ac:dyDescent="0.2">
      <c r="A499" s="54"/>
      <c r="B499" s="56"/>
      <c r="C499" s="83" t="s">
        <v>467</v>
      </c>
      <c r="D499" s="83"/>
      <c r="E499" s="83"/>
      <c r="F499" s="83"/>
      <c r="G499" s="83"/>
      <c r="H499" s="83"/>
      <c r="I499" s="42"/>
      <c r="J499" s="54"/>
      <c r="K499" s="40"/>
      <c r="L499" s="42">
        <f>SUMIF(CD53:CD494, 3, BD53:BD494)</f>
        <v>0</v>
      </c>
    </row>
    <row r="500" spans="1:12" hidden="1" x14ac:dyDescent="0.2"/>
    <row r="501" spans="1:12" ht="15" hidden="1" x14ac:dyDescent="0.2">
      <c r="A501" s="57"/>
      <c r="B501" s="58"/>
      <c r="C501" s="87" t="s">
        <v>506</v>
      </c>
      <c r="D501" s="87"/>
      <c r="E501" s="87"/>
      <c r="F501" s="87"/>
      <c r="G501" s="87"/>
      <c r="H501" s="87"/>
      <c r="I501" s="45"/>
      <c r="J501" s="57"/>
      <c r="K501" s="59"/>
      <c r="L501" s="45">
        <f>L507+L522+L523+L503+L504</f>
        <v>30737.279999999999</v>
      </c>
    </row>
    <row r="502" spans="1:12" ht="14.25" hidden="1" x14ac:dyDescent="0.2">
      <c r="A502" s="54"/>
      <c r="B502" s="56"/>
      <c r="C502" s="86" t="s">
        <v>452</v>
      </c>
      <c r="D502" s="83"/>
      <c r="E502" s="83"/>
      <c r="F502" s="83"/>
      <c r="G502" s="83"/>
      <c r="H502" s="83"/>
      <c r="I502" s="42"/>
      <c r="J502" s="54"/>
      <c r="K502" s="40"/>
      <c r="L502" s="42"/>
    </row>
    <row r="503" spans="1:12" ht="14.25" hidden="1" x14ac:dyDescent="0.2">
      <c r="A503" s="54"/>
      <c r="B503" s="56"/>
      <c r="C503" s="83" t="s">
        <v>507</v>
      </c>
      <c r="D503" s="83"/>
      <c r="E503" s="83"/>
      <c r="F503" s="83"/>
      <c r="G503" s="83"/>
      <c r="H503" s="83"/>
      <c r="I503" s="42"/>
      <c r="J503" s="54"/>
      <c r="K503" s="40"/>
      <c r="L503" s="42"/>
    </row>
    <row r="504" spans="1:12" ht="14.25" hidden="1" x14ac:dyDescent="0.2">
      <c r="A504" s="54"/>
      <c r="B504" s="56"/>
      <c r="C504" s="83" t="s">
        <v>508</v>
      </c>
      <c r="D504" s="83"/>
      <c r="E504" s="83"/>
      <c r="F504" s="83"/>
      <c r="G504" s="83"/>
      <c r="H504" s="83"/>
      <c r="I504" s="42"/>
      <c r="J504" s="54"/>
      <c r="K504" s="40"/>
      <c r="L504" s="42">
        <f>SUM(BO53:BO499)</f>
        <v>0</v>
      </c>
    </row>
    <row r="505" spans="1:12" ht="14.25" hidden="1" x14ac:dyDescent="0.2">
      <c r="A505" s="54"/>
      <c r="B505" s="56"/>
      <c r="C505" s="83" t="s">
        <v>187</v>
      </c>
      <c r="D505" s="83"/>
      <c r="E505" s="83"/>
      <c r="F505" s="83"/>
      <c r="G505" s="83"/>
      <c r="H505" s="83"/>
      <c r="I505" s="42"/>
      <c r="J505" s="54"/>
      <c r="K505" s="40"/>
      <c r="L505" s="42">
        <f>L507+L522+L523</f>
        <v>30737.279999999999</v>
      </c>
    </row>
    <row r="506" spans="1:12" ht="14.25" hidden="1" x14ac:dyDescent="0.2">
      <c r="A506" s="54"/>
      <c r="B506" s="56"/>
      <c r="C506" s="86" t="s">
        <v>452</v>
      </c>
      <c r="D506" s="83"/>
      <c r="E506" s="83"/>
      <c r="F506" s="83"/>
      <c r="G506" s="83"/>
      <c r="H506" s="83"/>
      <c r="I506" s="42"/>
      <c r="J506" s="54"/>
      <c r="K506" s="40"/>
      <c r="L506" s="42"/>
    </row>
    <row r="507" spans="1:12" ht="14.25" hidden="1" x14ac:dyDescent="0.2">
      <c r="A507" s="54"/>
      <c r="B507" s="56"/>
      <c r="C507" s="83" t="s">
        <v>499</v>
      </c>
      <c r="D507" s="83"/>
      <c r="E507" s="83"/>
      <c r="F507" s="83"/>
      <c r="G507" s="83"/>
      <c r="H507" s="83"/>
      <c r="I507" s="42"/>
      <c r="J507" s="54"/>
      <c r="K507" s="40"/>
      <c r="L507" s="42">
        <f>L509+L510+L516+L520</f>
        <v>14636.800000000001</v>
      </c>
    </row>
    <row r="508" spans="1:12" ht="14.25" hidden="1" x14ac:dyDescent="0.2">
      <c r="A508" s="54"/>
      <c r="B508" s="56"/>
      <c r="C508" s="86" t="s">
        <v>452</v>
      </c>
      <c r="D508" s="83"/>
      <c r="E508" s="83"/>
      <c r="F508" s="83"/>
      <c r="G508" s="83"/>
      <c r="H508" s="83"/>
      <c r="I508" s="42"/>
      <c r="J508" s="54"/>
      <c r="K508" s="40"/>
      <c r="L508" s="42"/>
    </row>
    <row r="509" spans="1:12" ht="14.25" hidden="1" x14ac:dyDescent="0.2">
      <c r="A509" s="54"/>
      <c r="B509" s="56"/>
      <c r="C509" s="83" t="s">
        <v>500</v>
      </c>
      <c r="D509" s="83"/>
      <c r="E509" s="83"/>
      <c r="F509" s="83"/>
      <c r="G509" s="83"/>
      <c r="H509" s="83"/>
      <c r="I509" s="42"/>
      <c r="J509" s="54"/>
      <c r="K509" s="40"/>
      <c r="L509" s="42">
        <f>SUMIF(CD53:CD499, 4, AR53:AR499)</f>
        <v>14636.800000000001</v>
      </c>
    </row>
    <row r="510" spans="1:12" ht="14.25" hidden="1" x14ac:dyDescent="0.2">
      <c r="A510" s="54"/>
      <c r="B510" s="56"/>
      <c r="C510" s="83" t="s">
        <v>454</v>
      </c>
      <c r="D510" s="83"/>
      <c r="E510" s="83"/>
      <c r="F510" s="83"/>
      <c r="G510" s="83"/>
      <c r="H510" s="83"/>
      <c r="I510" s="42"/>
      <c r="J510" s="54"/>
      <c r="K510" s="40"/>
      <c r="L510" s="42">
        <f>L512+L515+L514</f>
        <v>0</v>
      </c>
    </row>
    <row r="511" spans="1:12" ht="14.25" hidden="1" x14ac:dyDescent="0.2">
      <c r="A511" s="54"/>
      <c r="B511" s="56"/>
      <c r="C511" s="86" t="s">
        <v>455</v>
      </c>
      <c r="D511" s="83"/>
      <c r="E511" s="83"/>
      <c r="F511" s="83"/>
      <c r="G511" s="83"/>
      <c r="H511" s="83"/>
      <c r="I511" s="42"/>
      <c r="J511" s="54"/>
      <c r="K511" s="40"/>
      <c r="L511" s="42"/>
    </row>
    <row r="512" spans="1:12" ht="14.25" hidden="1" x14ac:dyDescent="0.2">
      <c r="A512" s="54"/>
      <c r="B512" s="56"/>
      <c r="C512" s="83" t="s">
        <v>454</v>
      </c>
      <c r="D512" s="83"/>
      <c r="E512" s="83"/>
      <c r="F512" s="83"/>
      <c r="G512" s="83"/>
      <c r="H512" s="83"/>
      <c r="I512" s="42"/>
      <c r="J512" s="54"/>
      <c r="K512" s="40"/>
      <c r="L512" s="42">
        <f>SUMIF(CD53:CD499, 4, AO53:AO499)</f>
        <v>0</v>
      </c>
    </row>
    <row r="513" spans="1:12" ht="14.25" hidden="1" x14ac:dyDescent="0.2">
      <c r="A513" s="54"/>
      <c r="B513" s="56"/>
      <c r="C513" s="86" t="s">
        <v>456</v>
      </c>
      <c r="D513" s="83"/>
      <c r="E513" s="83"/>
      <c r="F513" s="83"/>
      <c r="G513" s="83"/>
      <c r="H513" s="83"/>
      <c r="I513" s="42"/>
      <c r="J513" s="54"/>
      <c r="K513" s="40"/>
      <c r="L513" s="42"/>
    </row>
    <row r="514" spans="1:12" ht="14.25" hidden="1" x14ac:dyDescent="0.2">
      <c r="A514" s="54"/>
      <c r="B514" s="56"/>
      <c r="C514" s="83" t="s">
        <v>476</v>
      </c>
      <c r="D514" s="83"/>
      <c r="E514" s="83"/>
      <c r="F514" s="83"/>
      <c r="G514" s="83"/>
      <c r="H514" s="83"/>
      <c r="I514" s="42"/>
      <c r="J514" s="54"/>
      <c r="K514" s="40"/>
      <c r="L514" s="42">
        <f>SUMIF(CD53:CD499, 4, AT53:AT499)</f>
        <v>0</v>
      </c>
    </row>
    <row r="515" spans="1:12" ht="14.25" hidden="1" x14ac:dyDescent="0.2">
      <c r="A515" s="54"/>
      <c r="B515" s="56"/>
      <c r="C515" s="83" t="s">
        <v>457</v>
      </c>
      <c r="D515" s="83"/>
      <c r="E515" s="83"/>
      <c r="F515" s="83"/>
      <c r="G515" s="83"/>
      <c r="H515" s="83"/>
      <c r="I515" s="42"/>
      <c r="J515" s="54"/>
      <c r="K515" s="40"/>
      <c r="L515" s="42">
        <f>SUMIF(CD53:CD499, 4, AV53:AV499)</f>
        <v>0</v>
      </c>
    </row>
    <row r="516" spans="1:12" ht="14.25" hidden="1" x14ac:dyDescent="0.2">
      <c r="A516" s="54"/>
      <c r="B516" s="56"/>
      <c r="C516" s="83" t="s">
        <v>458</v>
      </c>
      <c r="D516" s="83"/>
      <c r="E516" s="83"/>
      <c r="F516" s="83"/>
      <c r="G516" s="83"/>
      <c r="H516" s="83"/>
      <c r="I516" s="42"/>
      <c r="J516" s="54"/>
      <c r="K516" s="40"/>
      <c r="L516" s="42">
        <f>L518+L519</f>
        <v>0</v>
      </c>
    </row>
    <row r="517" spans="1:12" ht="14.25" hidden="1" x14ac:dyDescent="0.2">
      <c r="A517" s="54"/>
      <c r="B517" s="56"/>
      <c r="C517" s="86" t="s">
        <v>455</v>
      </c>
      <c r="D517" s="83"/>
      <c r="E517" s="83"/>
      <c r="F517" s="83"/>
      <c r="G517" s="83"/>
      <c r="H517" s="83"/>
      <c r="I517" s="42"/>
      <c r="J517" s="54"/>
      <c r="K517" s="40"/>
      <c r="L517" s="42"/>
    </row>
    <row r="518" spans="1:12" ht="14.25" hidden="1" x14ac:dyDescent="0.2">
      <c r="A518" s="54"/>
      <c r="B518" s="56"/>
      <c r="C518" s="83" t="s">
        <v>459</v>
      </c>
      <c r="D518" s="83"/>
      <c r="E518" s="83"/>
      <c r="F518" s="83"/>
      <c r="G518" s="83"/>
      <c r="H518" s="83"/>
      <c r="I518" s="42"/>
      <c r="J518" s="54"/>
      <c r="K518" s="40"/>
      <c r="L518" s="42">
        <f>SUMIF(CD53:CD499, 4, AW53:AW499)-SUMIF(CD53:CD499, 4, BK53:BK499)</f>
        <v>0</v>
      </c>
    </row>
    <row r="519" spans="1:12" ht="14.25" hidden="1" x14ac:dyDescent="0.2">
      <c r="A519" s="54"/>
      <c r="B519" s="56"/>
      <c r="C519" s="83" t="s">
        <v>460</v>
      </c>
      <c r="D519" s="83"/>
      <c r="E519" s="83"/>
      <c r="F519" s="83"/>
      <c r="G519" s="83"/>
      <c r="H519" s="83"/>
      <c r="I519" s="42"/>
      <c r="J519" s="54"/>
      <c r="K519" s="40"/>
      <c r="L519" s="42">
        <f>SUMIF(CD53:CD499, 4, BC53:BC499)</f>
        <v>0</v>
      </c>
    </row>
    <row r="520" spans="1:12" ht="14.25" hidden="1" x14ac:dyDescent="0.2">
      <c r="A520" s="54"/>
      <c r="B520" s="56"/>
      <c r="C520" s="83" t="s">
        <v>461</v>
      </c>
      <c r="D520" s="83"/>
      <c r="E520" s="83"/>
      <c r="F520" s="83"/>
      <c r="G520" s="83"/>
      <c r="H520" s="83"/>
      <c r="I520" s="42"/>
      <c r="J520" s="54"/>
      <c r="K520" s="40"/>
      <c r="L520" s="42">
        <f>SUMIF(CD53:CD499, 4, BB53:BB499)</f>
        <v>0</v>
      </c>
    </row>
    <row r="521" spans="1:12" ht="14.25" hidden="1" x14ac:dyDescent="0.2">
      <c r="A521" s="54"/>
      <c r="B521" s="56"/>
      <c r="C521" s="83" t="s">
        <v>501</v>
      </c>
      <c r="D521" s="83"/>
      <c r="E521" s="83"/>
      <c r="F521" s="83"/>
      <c r="G521" s="83"/>
      <c r="H521" s="83"/>
      <c r="I521" s="42"/>
      <c r="J521" s="54"/>
      <c r="K521" s="40"/>
      <c r="L521" s="42">
        <f>SUMIF(CD53:CD499, 4, AR53:AR499)+SUMIF(CD53:CD499, 4, AT53:AT499)+SUMIF(CD53:CD499, 4, AV53:AV499)</f>
        <v>14636.800000000001</v>
      </c>
    </row>
    <row r="522" spans="1:12" ht="14.25" hidden="1" x14ac:dyDescent="0.2">
      <c r="A522" s="54"/>
      <c r="B522" s="56"/>
      <c r="C522" s="83" t="s">
        <v>502</v>
      </c>
      <c r="D522" s="83"/>
      <c r="E522" s="83"/>
      <c r="F522" s="83"/>
      <c r="G522" s="83"/>
      <c r="H522" s="83"/>
      <c r="I522" s="42"/>
      <c r="J522" s="54"/>
      <c r="K522" s="40"/>
      <c r="L522" s="42">
        <f>SUMIF(CD53:CD499, 4, AZ53:AZ499)</f>
        <v>10831.239999999998</v>
      </c>
    </row>
    <row r="523" spans="1:12" ht="14.25" hidden="1" x14ac:dyDescent="0.2">
      <c r="A523" s="54"/>
      <c r="B523" s="56"/>
      <c r="C523" s="83" t="s">
        <v>503</v>
      </c>
      <c r="D523" s="83"/>
      <c r="E523" s="83"/>
      <c r="F523" s="83"/>
      <c r="G523" s="83"/>
      <c r="H523" s="83"/>
      <c r="I523" s="42"/>
      <c r="J523" s="54"/>
      <c r="K523" s="40"/>
      <c r="L523" s="42">
        <f>SUMIF(CD53:CD499, 4, BA53:BA499)</f>
        <v>5269.24</v>
      </c>
    </row>
    <row r="524" spans="1:12" hidden="1" x14ac:dyDescent="0.2"/>
    <row r="525" spans="1:12" ht="15" hidden="1" x14ac:dyDescent="0.2">
      <c r="A525" s="57"/>
      <c r="B525" s="58"/>
      <c r="C525" s="87" t="s">
        <v>509</v>
      </c>
      <c r="D525" s="87"/>
      <c r="E525" s="87"/>
      <c r="F525" s="87"/>
      <c r="G525" s="87"/>
      <c r="H525" s="87"/>
      <c r="I525" s="45"/>
      <c r="J525" s="57"/>
      <c r="K525" s="59"/>
      <c r="L525" s="45">
        <f>L446+L376+L331+L203+L126</f>
        <v>9367813.2200000007</v>
      </c>
    </row>
    <row r="526" spans="1:12" ht="14.25" hidden="1" x14ac:dyDescent="0.2">
      <c r="A526" s="54"/>
      <c r="B526" s="56"/>
      <c r="C526" s="86" t="s">
        <v>452</v>
      </c>
      <c r="D526" s="83"/>
      <c r="E526" s="83"/>
      <c r="F526" s="83"/>
      <c r="G526" s="83"/>
      <c r="H526" s="83"/>
      <c r="I526" s="42"/>
      <c r="J526" s="54"/>
      <c r="K526" s="40"/>
      <c r="L526" s="42"/>
    </row>
    <row r="527" spans="1:12" ht="14.25" hidden="1" x14ac:dyDescent="0.2">
      <c r="A527" s="54"/>
      <c r="B527" s="56"/>
      <c r="C527" s="83" t="s">
        <v>499</v>
      </c>
      <c r="D527" s="83"/>
      <c r="E527" s="83"/>
      <c r="F527" s="83"/>
      <c r="G527" s="83"/>
      <c r="H527" s="83"/>
      <c r="I527" s="42"/>
      <c r="J527" s="54"/>
      <c r="K527" s="40"/>
      <c r="L527" s="42">
        <f>L529+L530+L536+L540</f>
        <v>7307779.3799999999</v>
      </c>
    </row>
    <row r="528" spans="1:12" ht="14.25" hidden="1" x14ac:dyDescent="0.2">
      <c r="A528" s="54"/>
      <c r="B528" s="56"/>
      <c r="C528" s="86" t="s">
        <v>452</v>
      </c>
      <c r="D528" s="83"/>
      <c r="E528" s="83"/>
      <c r="F528" s="83"/>
      <c r="G528" s="83"/>
      <c r="H528" s="83"/>
      <c r="I528" s="42"/>
      <c r="J528" s="54"/>
      <c r="K528" s="40"/>
      <c r="L528" s="42"/>
    </row>
    <row r="529" spans="1:12" ht="14.25" hidden="1" x14ac:dyDescent="0.2">
      <c r="A529" s="54"/>
      <c r="B529" s="56"/>
      <c r="C529" s="83" t="s">
        <v>500</v>
      </c>
      <c r="D529" s="83"/>
      <c r="E529" s="83"/>
      <c r="F529" s="83"/>
      <c r="G529" s="83"/>
      <c r="H529" s="83"/>
      <c r="I529" s="42"/>
      <c r="J529" s="54"/>
      <c r="K529" s="40"/>
      <c r="L529" s="42">
        <f>SUM(AR53:AR523)</f>
        <v>1346570.4000000004</v>
      </c>
    </row>
    <row r="530" spans="1:12" ht="14.25" hidden="1" x14ac:dyDescent="0.2">
      <c r="A530" s="54"/>
      <c r="B530" s="56"/>
      <c r="C530" s="83" t="s">
        <v>454</v>
      </c>
      <c r="D530" s="83"/>
      <c r="E530" s="83"/>
      <c r="F530" s="83"/>
      <c r="G530" s="83"/>
      <c r="H530" s="83"/>
      <c r="I530" s="42"/>
      <c r="J530" s="54"/>
      <c r="K530" s="40"/>
      <c r="L530" s="42">
        <f>L532+L535+L534</f>
        <v>247677.17000000004</v>
      </c>
    </row>
    <row r="531" spans="1:12" ht="14.25" hidden="1" x14ac:dyDescent="0.2">
      <c r="A531" s="54"/>
      <c r="B531" s="56"/>
      <c r="C531" s="86" t="s">
        <v>455</v>
      </c>
      <c r="D531" s="83"/>
      <c r="E531" s="83"/>
      <c r="F531" s="83"/>
      <c r="G531" s="83"/>
      <c r="H531" s="83"/>
      <c r="I531" s="42"/>
      <c r="J531" s="54"/>
      <c r="K531" s="40"/>
      <c r="L531" s="42"/>
    </row>
    <row r="532" spans="1:12" ht="14.25" hidden="1" x14ac:dyDescent="0.2">
      <c r="A532" s="54"/>
      <c r="B532" s="56"/>
      <c r="C532" s="83" t="s">
        <v>454</v>
      </c>
      <c r="D532" s="83"/>
      <c r="E532" s="83"/>
      <c r="F532" s="83"/>
      <c r="G532" s="83"/>
      <c r="H532" s="83"/>
      <c r="I532" s="42"/>
      <c r="J532" s="54"/>
      <c r="K532" s="40"/>
      <c r="L532" s="42">
        <f>SUM(AO53:AO523)</f>
        <v>156985.06000000003</v>
      </c>
    </row>
    <row r="533" spans="1:12" ht="14.25" hidden="1" x14ac:dyDescent="0.2">
      <c r="A533" s="54"/>
      <c r="B533" s="56"/>
      <c r="C533" s="86" t="s">
        <v>456</v>
      </c>
      <c r="D533" s="83"/>
      <c r="E533" s="83"/>
      <c r="F533" s="83"/>
      <c r="G533" s="83"/>
      <c r="H533" s="83"/>
      <c r="I533" s="42"/>
      <c r="J533" s="54"/>
      <c r="K533" s="40"/>
      <c r="L533" s="42"/>
    </row>
    <row r="534" spans="1:12" ht="14.25" hidden="1" x14ac:dyDescent="0.2">
      <c r="A534" s="54"/>
      <c r="B534" s="56"/>
      <c r="C534" s="83" t="s">
        <v>476</v>
      </c>
      <c r="D534" s="83"/>
      <c r="E534" s="83"/>
      <c r="F534" s="83"/>
      <c r="G534" s="83"/>
      <c r="H534" s="83"/>
      <c r="I534" s="42"/>
      <c r="J534" s="54"/>
      <c r="K534" s="40"/>
      <c r="L534" s="42">
        <f>SUM(AT53:AT523)</f>
        <v>90692.11</v>
      </c>
    </row>
    <row r="535" spans="1:12" ht="14.25" hidden="1" x14ac:dyDescent="0.2">
      <c r="A535" s="54"/>
      <c r="B535" s="56"/>
      <c r="C535" s="83" t="s">
        <v>457</v>
      </c>
      <c r="D535" s="83"/>
      <c r="E535" s="83"/>
      <c r="F535" s="83"/>
      <c r="G535" s="83"/>
      <c r="H535" s="83"/>
      <c r="I535" s="42"/>
      <c r="J535" s="54"/>
      <c r="K535" s="40"/>
      <c r="L535" s="42">
        <f>SUM(AV53:AV523)</f>
        <v>0</v>
      </c>
    </row>
    <row r="536" spans="1:12" ht="14.25" hidden="1" x14ac:dyDescent="0.2">
      <c r="A536" s="54"/>
      <c r="B536" s="56"/>
      <c r="C536" s="83" t="s">
        <v>458</v>
      </c>
      <c r="D536" s="83"/>
      <c r="E536" s="83"/>
      <c r="F536" s="83"/>
      <c r="G536" s="83"/>
      <c r="H536" s="83"/>
      <c r="I536" s="42"/>
      <c r="J536" s="54"/>
      <c r="K536" s="40"/>
      <c r="L536" s="42">
        <f>L538+L539</f>
        <v>5713531.8099999996</v>
      </c>
    </row>
    <row r="537" spans="1:12" ht="14.25" hidden="1" x14ac:dyDescent="0.2">
      <c r="A537" s="54"/>
      <c r="B537" s="56"/>
      <c r="C537" s="86" t="s">
        <v>455</v>
      </c>
      <c r="D537" s="83"/>
      <c r="E537" s="83"/>
      <c r="F537" s="83"/>
      <c r="G537" s="83"/>
      <c r="H537" s="83"/>
      <c r="I537" s="42"/>
      <c r="J537" s="54"/>
      <c r="K537" s="40"/>
      <c r="L537" s="42"/>
    </row>
    <row r="538" spans="1:12" ht="14.25" hidden="1" x14ac:dyDescent="0.2">
      <c r="A538" s="54"/>
      <c r="B538" s="56"/>
      <c r="C538" s="83" t="s">
        <v>459</v>
      </c>
      <c r="D538" s="83"/>
      <c r="E538" s="83"/>
      <c r="F538" s="83"/>
      <c r="G538" s="83"/>
      <c r="H538" s="83"/>
      <c r="I538" s="42"/>
      <c r="J538" s="54"/>
      <c r="K538" s="40"/>
      <c r="L538" s="42">
        <f>SUM(AW53:AW523)-SUM(BK53:BK523)</f>
        <v>5713531.8099999996</v>
      </c>
    </row>
    <row r="539" spans="1:12" ht="14.25" hidden="1" x14ac:dyDescent="0.2">
      <c r="A539" s="54"/>
      <c r="B539" s="56"/>
      <c r="C539" s="83" t="s">
        <v>460</v>
      </c>
      <c r="D539" s="83"/>
      <c r="E539" s="83"/>
      <c r="F539" s="83"/>
      <c r="G539" s="83"/>
      <c r="H539" s="83"/>
      <c r="I539" s="42"/>
      <c r="J539" s="54"/>
      <c r="K539" s="40"/>
      <c r="L539" s="42">
        <f>SUM(BC53:BC523)</f>
        <v>0</v>
      </c>
    </row>
    <row r="540" spans="1:12" ht="14.25" hidden="1" x14ac:dyDescent="0.2">
      <c r="A540" s="54"/>
      <c r="B540" s="56"/>
      <c r="C540" s="83" t="s">
        <v>461</v>
      </c>
      <c r="D540" s="83"/>
      <c r="E540" s="83"/>
      <c r="F540" s="83"/>
      <c r="G540" s="83"/>
      <c r="H540" s="83"/>
      <c r="I540" s="42"/>
      <c r="J540" s="54"/>
      <c r="K540" s="40"/>
      <c r="L540" s="42">
        <f>SUM(BB53:BB523)</f>
        <v>0</v>
      </c>
    </row>
    <row r="541" spans="1:12" ht="14.25" hidden="1" x14ac:dyDescent="0.2">
      <c r="A541" s="54"/>
      <c r="B541" s="56"/>
      <c r="C541" s="83" t="s">
        <v>462</v>
      </c>
      <c r="D541" s="83"/>
      <c r="E541" s="83"/>
      <c r="F541" s="83"/>
      <c r="G541" s="83"/>
      <c r="H541" s="83"/>
      <c r="I541" s="42"/>
      <c r="J541" s="54"/>
      <c r="K541" s="40"/>
      <c r="L541" s="42">
        <f>SUM(AR53:AR523)+SUM(AT53:AT523)+SUM(AV53:AV523)</f>
        <v>1437262.5100000005</v>
      </c>
    </row>
    <row r="542" spans="1:12" ht="14.25" hidden="1" x14ac:dyDescent="0.2">
      <c r="A542" s="54"/>
      <c r="B542" s="56"/>
      <c r="C542" s="83" t="s">
        <v>463</v>
      </c>
      <c r="D542" s="83"/>
      <c r="E542" s="83"/>
      <c r="F542" s="83"/>
      <c r="G542" s="83"/>
      <c r="H542" s="83"/>
      <c r="I542" s="42"/>
      <c r="J542" s="54"/>
      <c r="K542" s="40"/>
      <c r="L542" s="42">
        <f>SUM(AZ53:AZ523)</f>
        <v>1351270.5900000003</v>
      </c>
    </row>
    <row r="543" spans="1:12" ht="14.25" hidden="1" x14ac:dyDescent="0.2">
      <c r="A543" s="54"/>
      <c r="B543" s="56"/>
      <c r="C543" s="83" t="s">
        <v>464</v>
      </c>
      <c r="D543" s="83"/>
      <c r="E543" s="83"/>
      <c r="F543" s="83"/>
      <c r="G543" s="83"/>
      <c r="H543" s="83"/>
      <c r="I543" s="42"/>
      <c r="J543" s="54"/>
      <c r="K543" s="40"/>
      <c r="L543" s="42">
        <f>SUM(BA53:BA523)</f>
        <v>708763.25000000012</v>
      </c>
    </row>
    <row r="544" spans="1:12" ht="14.25" hidden="1" x14ac:dyDescent="0.2">
      <c r="A544" s="54"/>
      <c r="B544" s="56"/>
      <c r="C544" s="83" t="s">
        <v>510</v>
      </c>
      <c r="D544" s="83"/>
      <c r="E544" s="83"/>
      <c r="F544" s="83"/>
      <c r="G544" s="83"/>
      <c r="H544" s="83"/>
      <c r="I544" s="42"/>
      <c r="J544" s="54"/>
      <c r="K544" s="40"/>
      <c r="L544" s="42">
        <f>L546+L547</f>
        <v>0</v>
      </c>
    </row>
    <row r="545" spans="1:12" ht="14.25" hidden="1" x14ac:dyDescent="0.2">
      <c r="A545" s="54"/>
      <c r="B545" s="56"/>
      <c r="C545" s="86" t="s">
        <v>452</v>
      </c>
      <c r="D545" s="83"/>
      <c r="E545" s="83"/>
      <c r="F545" s="83"/>
      <c r="G545" s="83"/>
      <c r="H545" s="83"/>
      <c r="I545" s="42"/>
      <c r="J545" s="54"/>
      <c r="K545" s="40"/>
      <c r="L545" s="42"/>
    </row>
    <row r="546" spans="1:12" ht="14.25" hidden="1" x14ac:dyDescent="0.2">
      <c r="A546" s="54"/>
      <c r="B546" s="56"/>
      <c r="C546" s="83" t="s">
        <v>466</v>
      </c>
      <c r="D546" s="83"/>
      <c r="E546" s="83"/>
      <c r="F546" s="83"/>
      <c r="G546" s="83"/>
      <c r="H546" s="83"/>
      <c r="I546" s="42"/>
      <c r="J546" s="54"/>
      <c r="K546" s="40"/>
      <c r="L546" s="42">
        <f>SUM(BK53:BK523)</f>
        <v>0</v>
      </c>
    </row>
    <row r="547" spans="1:12" ht="14.25" hidden="1" x14ac:dyDescent="0.2">
      <c r="A547" s="54"/>
      <c r="B547" s="56"/>
      <c r="C547" s="83" t="s">
        <v>467</v>
      </c>
      <c r="D547" s="83"/>
      <c r="E547" s="83"/>
      <c r="F547" s="83"/>
      <c r="G547" s="83"/>
      <c r="H547" s="83"/>
      <c r="I547" s="42"/>
      <c r="J547" s="54"/>
      <c r="K547" s="40"/>
      <c r="L547" s="42">
        <f>SUM(BD53:BD523)</f>
        <v>0</v>
      </c>
    </row>
    <row r="548" spans="1:12" ht="14.25" hidden="1" x14ac:dyDescent="0.2">
      <c r="A548" s="54"/>
      <c r="B548" s="56"/>
      <c r="C548" s="83" t="s">
        <v>511</v>
      </c>
      <c r="D548" s="83"/>
      <c r="E548" s="83"/>
      <c r="F548" s="83"/>
      <c r="G548" s="83"/>
      <c r="H548" s="83"/>
      <c r="I548" s="42"/>
      <c r="J548" s="54"/>
      <c r="K548" s="40"/>
      <c r="L548" s="42">
        <f>L501</f>
        <v>30737.279999999999</v>
      </c>
    </row>
    <row r="549" spans="1:12" ht="14.25" hidden="1" x14ac:dyDescent="0.2">
      <c r="A549" s="54"/>
      <c r="B549" s="56"/>
      <c r="C549" s="87" t="s">
        <v>471</v>
      </c>
      <c r="D549" s="83"/>
      <c r="E549" s="83"/>
      <c r="F549" s="83"/>
      <c r="G549" s="83"/>
      <c r="H549" s="83"/>
      <c r="I549" s="42"/>
      <c r="J549" s="54"/>
      <c r="K549" s="40"/>
      <c r="L549" s="42"/>
    </row>
    <row r="550" spans="1:12" ht="14.25" hidden="1" x14ac:dyDescent="0.2">
      <c r="A550" s="54"/>
      <c r="B550" s="56"/>
      <c r="C550" s="83" t="s">
        <v>472</v>
      </c>
      <c r="D550" s="83"/>
      <c r="E550" s="83"/>
      <c r="F550" s="83"/>
      <c r="G550" s="83"/>
      <c r="H550" s="83"/>
      <c r="I550" s="42"/>
      <c r="J550" s="54"/>
      <c r="K550" s="40"/>
      <c r="L550" s="42">
        <f>SUM(AX53:AX523)</f>
        <v>0</v>
      </c>
    </row>
    <row r="551" spans="1:12" ht="14.25" hidden="1" x14ac:dyDescent="0.2">
      <c r="A551" s="54"/>
      <c r="B551" s="56"/>
      <c r="C551" s="83" t="s">
        <v>473</v>
      </c>
      <c r="D551" s="83"/>
      <c r="E551" s="83"/>
      <c r="F551" s="83"/>
      <c r="G551" s="83"/>
      <c r="H551" s="83"/>
      <c r="I551" s="42"/>
      <c r="J551" s="54"/>
      <c r="K551" s="40"/>
      <c r="L551" s="42">
        <f>SUM(AY53:AY523)</f>
        <v>0</v>
      </c>
    </row>
    <row r="552" spans="1:12" ht="14.25" hidden="1" x14ac:dyDescent="0.2">
      <c r="A552" s="54"/>
      <c r="B552" s="56"/>
      <c r="C552" s="83" t="s">
        <v>474</v>
      </c>
      <c r="D552" s="83"/>
      <c r="E552" s="83"/>
      <c r="F552" s="84"/>
      <c r="G552" s="44">
        <f>Source!F278</f>
        <v>3215.768</v>
      </c>
      <c r="H552" s="54"/>
      <c r="I552" s="54"/>
      <c r="J552" s="54"/>
      <c r="K552" s="54"/>
      <c r="L552" s="54"/>
    </row>
    <row r="553" spans="1:12" ht="14.25" hidden="1" x14ac:dyDescent="0.2">
      <c r="A553" s="54"/>
      <c r="B553" s="56"/>
      <c r="C553" s="83" t="s">
        <v>475</v>
      </c>
      <c r="D553" s="83"/>
      <c r="E553" s="83"/>
      <c r="F553" s="84"/>
      <c r="G553" s="44">
        <f>Source!F279</f>
        <v>169.30080000000001</v>
      </c>
      <c r="H553" s="54"/>
      <c r="I553" s="54"/>
      <c r="J553" s="54"/>
      <c r="K553" s="54"/>
      <c r="L553" s="54"/>
    </row>
    <row r="555" spans="1:12" ht="15.75" x14ac:dyDescent="0.25">
      <c r="C555" s="85" t="str">
        <f>Source!H285</f>
        <v>Итого</v>
      </c>
      <c r="D555" s="85"/>
      <c r="E555" s="85"/>
      <c r="F555" s="85"/>
      <c r="G555" s="85"/>
      <c r="H555" s="85"/>
      <c r="I555" s="85"/>
      <c r="J555" s="85"/>
      <c r="K555" s="85"/>
      <c r="L555" s="79">
        <f>L446+L376+L331+L203+L126</f>
        <v>9367813.2200000007</v>
      </c>
    </row>
    <row r="556" spans="1:12" ht="15.75" x14ac:dyDescent="0.25">
      <c r="C556" s="115" t="s">
        <v>515</v>
      </c>
      <c r="D556" s="115"/>
      <c r="E556" s="115"/>
      <c r="F556" s="115"/>
      <c r="G556" s="72"/>
      <c r="H556" s="72"/>
      <c r="I556" s="72"/>
      <c r="J556" s="73"/>
      <c r="K556" s="73"/>
      <c r="L556" s="74">
        <v>440413.61</v>
      </c>
    </row>
    <row r="557" spans="1:12" ht="15.75" x14ac:dyDescent="0.25">
      <c r="C557" s="115" t="s">
        <v>516</v>
      </c>
      <c r="D557" s="115"/>
      <c r="E557" s="115"/>
      <c r="F557" s="115"/>
      <c r="G557" s="72"/>
      <c r="H557" s="72"/>
      <c r="I557" s="72"/>
      <c r="J557" s="75"/>
      <c r="K557" s="75"/>
      <c r="L557" s="74">
        <v>123164.14</v>
      </c>
    </row>
    <row r="558" spans="1:12" ht="15.75" x14ac:dyDescent="0.25">
      <c r="C558" s="72" t="s">
        <v>211</v>
      </c>
      <c r="D558" s="72"/>
      <c r="E558" s="72"/>
      <c r="F558" s="76"/>
      <c r="G558" s="72"/>
      <c r="H558" s="72"/>
      <c r="I558" s="72"/>
      <c r="J558" s="75"/>
      <c r="K558" s="75"/>
      <c r="L558" s="74">
        <f>L557+L556+L555</f>
        <v>9931390.9700000007</v>
      </c>
    </row>
    <row r="559" spans="1:12" ht="15.75" x14ac:dyDescent="0.25">
      <c r="C559" s="72" t="s">
        <v>517</v>
      </c>
      <c r="D559" s="77">
        <v>0.2</v>
      </c>
      <c r="E559" s="72"/>
      <c r="F559" s="76"/>
      <c r="G559" s="72"/>
      <c r="H559" s="72"/>
      <c r="I559" s="72"/>
      <c r="J559" s="75"/>
      <c r="K559" s="75"/>
      <c r="L559" s="74">
        <f>0.2*L558</f>
        <v>1986278.1940000001</v>
      </c>
    </row>
    <row r="560" spans="1:12" ht="15.75" x14ac:dyDescent="0.25">
      <c r="C560" s="85" t="s">
        <v>215</v>
      </c>
      <c r="D560" s="85"/>
      <c r="E560" s="85"/>
      <c r="F560" s="85"/>
      <c r="G560" s="85"/>
      <c r="H560" s="85"/>
      <c r="I560" s="85"/>
      <c r="J560" s="54"/>
      <c r="K560" s="54"/>
      <c r="L560" s="78">
        <f>L559+L558</f>
        <v>11917669.164000001</v>
      </c>
    </row>
    <row r="561" spans="1:12" ht="14.25" x14ac:dyDescent="0.2">
      <c r="C561" s="68"/>
      <c r="D561" s="68"/>
      <c r="E561" s="68"/>
      <c r="F561" s="68"/>
      <c r="G561" s="68"/>
      <c r="H561" s="68"/>
      <c r="I561" s="68"/>
      <c r="J561" s="68"/>
      <c r="K561" s="68"/>
      <c r="L561" s="52"/>
    </row>
    <row r="562" spans="1:12" ht="14.25" x14ac:dyDescent="0.2">
      <c r="C562" s="68"/>
      <c r="D562" s="68"/>
      <c r="E562" s="68"/>
      <c r="F562" s="68"/>
      <c r="G562" s="68"/>
      <c r="H562" s="68"/>
      <c r="I562" s="68"/>
      <c r="J562" s="68"/>
      <c r="K562" s="68"/>
      <c r="L562" s="52"/>
    </row>
    <row r="563" spans="1:12" ht="14.25" x14ac:dyDescent="0.2">
      <c r="C563" s="68"/>
      <c r="D563" s="68"/>
      <c r="E563" s="68"/>
      <c r="F563" s="68"/>
      <c r="G563" s="68"/>
      <c r="H563" s="68"/>
      <c r="I563" s="68"/>
      <c r="J563" s="68"/>
      <c r="K563" s="68"/>
      <c r="L563" s="52"/>
    </row>
    <row r="566" spans="1:12" ht="14.25" customHeight="1" x14ac:dyDescent="0.2">
      <c r="A566" s="81" t="s">
        <v>512</v>
      </c>
      <c r="B566" s="81"/>
      <c r="C566" s="71" t="str">
        <f>IF(Source!AC12&lt;&gt;"", Source!AC12," ")</f>
        <v xml:space="preserve"> </v>
      </c>
      <c r="D566" s="30"/>
      <c r="E566" s="30"/>
      <c r="F566" s="30"/>
      <c r="G566" s="30"/>
      <c r="H566" s="15" t="str">
        <f>IF(Source!AB12&lt;&gt;"", Source!AB12," ")</f>
        <v>Мишкина З.И.</v>
      </c>
      <c r="I566" s="22"/>
      <c r="J566" s="22"/>
      <c r="K566" s="34"/>
      <c r="L566" s="34"/>
    </row>
    <row r="567" spans="1:12" ht="14.25" customHeight="1" x14ac:dyDescent="0.2">
      <c r="A567" s="19"/>
      <c r="B567" s="19"/>
      <c r="C567" s="82" t="s">
        <v>513</v>
      </c>
      <c r="D567" s="82"/>
      <c r="E567" s="82"/>
      <c r="F567" s="82"/>
      <c r="G567" s="82"/>
      <c r="H567" s="22"/>
      <c r="I567" s="22"/>
      <c r="J567" s="22"/>
      <c r="K567" s="34"/>
      <c r="L567" s="34"/>
    </row>
    <row r="568" spans="1:12" ht="14.25" customHeight="1" x14ac:dyDescent="0.2">
      <c r="A568" s="19"/>
      <c r="B568" s="19"/>
      <c r="C568" s="120"/>
      <c r="D568" s="19"/>
      <c r="E568" s="19"/>
      <c r="F568" s="19"/>
      <c r="G568" s="19"/>
      <c r="H568" s="22"/>
      <c r="I568" s="22"/>
      <c r="J568" s="22"/>
      <c r="K568" s="34"/>
      <c r="L568" s="34"/>
    </row>
    <row r="569" spans="1:12" ht="14.25" customHeight="1" x14ac:dyDescent="0.2">
      <c r="A569" s="81" t="s">
        <v>514</v>
      </c>
      <c r="B569" s="81"/>
      <c r="C569" s="71" t="str">
        <f>IF(Source!AE12&lt;&gt;"", Source!AE12," ")</f>
        <v xml:space="preserve"> </v>
      </c>
      <c r="D569" s="30"/>
      <c r="E569" s="30"/>
      <c r="F569" s="30"/>
      <c r="G569" s="30"/>
      <c r="H569" s="15" t="str">
        <f>IF(Source!AD12&lt;&gt;"", Source!AD12," ")</f>
        <v>Сукочев А.А.</v>
      </c>
      <c r="I569" s="22"/>
      <c r="J569" s="22"/>
      <c r="K569" s="34"/>
      <c r="L569" s="34"/>
    </row>
    <row r="570" spans="1:12" ht="14.25" customHeight="1" x14ac:dyDescent="0.2">
      <c r="A570" s="19"/>
      <c r="B570" s="19"/>
      <c r="C570" s="82" t="s">
        <v>513</v>
      </c>
      <c r="D570" s="82"/>
      <c r="E570" s="82"/>
      <c r="F570" s="82"/>
      <c r="G570" s="82"/>
      <c r="H570" s="22"/>
      <c r="I570" s="22"/>
      <c r="J570" s="22"/>
      <c r="K570" s="34"/>
      <c r="L570" s="34"/>
    </row>
  </sheetData>
  <mergeCells count="356">
    <mergeCell ref="B18:C18"/>
    <mergeCell ref="B20:F20"/>
    <mergeCell ref="B22:E22"/>
    <mergeCell ref="B24:C24"/>
    <mergeCell ref="A26:L26"/>
    <mergeCell ref="A2:E2"/>
    <mergeCell ref="F2:L2"/>
    <mergeCell ref="A4:E4"/>
    <mergeCell ref="F4:L4"/>
    <mergeCell ref="A6:E6"/>
    <mergeCell ref="F6:L6"/>
    <mergeCell ref="C556:F556"/>
    <mergeCell ref="C557:F557"/>
    <mergeCell ref="C560:I560"/>
    <mergeCell ref="A14:E14"/>
    <mergeCell ref="F14:L14"/>
    <mergeCell ref="A16:E16"/>
    <mergeCell ref="F16:L16"/>
    <mergeCell ref="A8:E8"/>
    <mergeCell ref="F8:L8"/>
    <mergeCell ref="A10:E10"/>
    <mergeCell ref="F10:L10"/>
    <mergeCell ref="A12:E12"/>
    <mergeCell ref="F12:L12"/>
    <mergeCell ref="C35:L35"/>
    <mergeCell ref="C39:D39"/>
    <mergeCell ref="C42:D42"/>
    <mergeCell ref="C43:D43"/>
    <mergeCell ref="C44:D44"/>
    <mergeCell ref="C45:D45"/>
    <mergeCell ref="A28:L28"/>
    <mergeCell ref="A29:L29"/>
    <mergeCell ref="C34:L34"/>
    <mergeCell ref="A54:L54"/>
    <mergeCell ref="C56:L56"/>
    <mergeCell ref="C64:H64"/>
    <mergeCell ref="I64:J64"/>
    <mergeCell ref="K64:L64"/>
    <mergeCell ref="C66:L66"/>
    <mergeCell ref="A47:A51"/>
    <mergeCell ref="B47:B51"/>
    <mergeCell ref="C47:C51"/>
    <mergeCell ref="D47:D51"/>
    <mergeCell ref="E47:G50"/>
    <mergeCell ref="H47:L50"/>
    <mergeCell ref="C101:H101"/>
    <mergeCell ref="I101:J101"/>
    <mergeCell ref="K101:L101"/>
    <mergeCell ref="C103:H103"/>
    <mergeCell ref="C104:H104"/>
    <mergeCell ref="C105:H105"/>
    <mergeCell ref="C74:H74"/>
    <mergeCell ref="I74:J74"/>
    <mergeCell ref="K74:L74"/>
    <mergeCell ref="C84:H84"/>
    <mergeCell ref="I84:J84"/>
    <mergeCell ref="K84:L84"/>
    <mergeCell ref="C112:H112"/>
    <mergeCell ref="C113:H113"/>
    <mergeCell ref="C114:H114"/>
    <mergeCell ref="C115:H115"/>
    <mergeCell ref="C116:H116"/>
    <mergeCell ref="C117:H117"/>
    <mergeCell ref="C106:H106"/>
    <mergeCell ref="C107:H107"/>
    <mergeCell ref="C108:H108"/>
    <mergeCell ref="C109:H109"/>
    <mergeCell ref="C110:H110"/>
    <mergeCell ref="C111:H111"/>
    <mergeCell ref="C124:H124"/>
    <mergeCell ref="C125:H125"/>
    <mergeCell ref="C126:H126"/>
    <mergeCell ref="C127:H127"/>
    <mergeCell ref="C128:H128"/>
    <mergeCell ref="C129:H129"/>
    <mergeCell ref="C118:H118"/>
    <mergeCell ref="C119:H119"/>
    <mergeCell ref="C120:H120"/>
    <mergeCell ref="C121:H121"/>
    <mergeCell ref="C122:H122"/>
    <mergeCell ref="C123:H123"/>
    <mergeCell ref="C160:L160"/>
    <mergeCell ref="C178:H178"/>
    <mergeCell ref="I178:J178"/>
    <mergeCell ref="K178:L178"/>
    <mergeCell ref="C180:H180"/>
    <mergeCell ref="C181:H181"/>
    <mergeCell ref="C130:F130"/>
    <mergeCell ref="C131:F131"/>
    <mergeCell ref="A134:L134"/>
    <mergeCell ref="C136:L136"/>
    <mergeCell ref="C158:H158"/>
    <mergeCell ref="I158:J158"/>
    <mergeCell ref="K158:L158"/>
    <mergeCell ref="C188:H188"/>
    <mergeCell ref="C189:H189"/>
    <mergeCell ref="C190:H190"/>
    <mergeCell ref="C191:H191"/>
    <mergeCell ref="C192:H192"/>
    <mergeCell ref="C193:H193"/>
    <mergeCell ref="C182:H182"/>
    <mergeCell ref="C183:H183"/>
    <mergeCell ref="C184:H184"/>
    <mergeCell ref="C185:H185"/>
    <mergeCell ref="C186:H186"/>
    <mergeCell ref="C187:H187"/>
    <mergeCell ref="C200:H200"/>
    <mergeCell ref="C201:H201"/>
    <mergeCell ref="C202:H202"/>
    <mergeCell ref="C203:H203"/>
    <mergeCell ref="C204:H204"/>
    <mergeCell ref="C205:H205"/>
    <mergeCell ref="C194:H194"/>
    <mergeCell ref="C195:H195"/>
    <mergeCell ref="C196:H196"/>
    <mergeCell ref="C197:H197"/>
    <mergeCell ref="C198:H198"/>
    <mergeCell ref="C199:H199"/>
    <mergeCell ref="C238:H238"/>
    <mergeCell ref="I238:J238"/>
    <mergeCell ref="K238:L238"/>
    <mergeCell ref="C261:H261"/>
    <mergeCell ref="I261:J261"/>
    <mergeCell ref="K261:L261"/>
    <mergeCell ref="C206:H206"/>
    <mergeCell ref="C207:F207"/>
    <mergeCell ref="C208:F208"/>
    <mergeCell ref="A211:L211"/>
    <mergeCell ref="C224:H224"/>
    <mergeCell ref="I224:J224"/>
    <mergeCell ref="K224:L224"/>
    <mergeCell ref="C306:H306"/>
    <mergeCell ref="I306:J306"/>
    <mergeCell ref="K306:L306"/>
    <mergeCell ref="C308:H308"/>
    <mergeCell ref="C309:H309"/>
    <mergeCell ref="C310:H310"/>
    <mergeCell ref="C280:H280"/>
    <mergeCell ref="I280:J280"/>
    <mergeCell ref="K280:L280"/>
    <mergeCell ref="C294:H294"/>
    <mergeCell ref="I294:J294"/>
    <mergeCell ref="K294:L294"/>
    <mergeCell ref="C317:H317"/>
    <mergeCell ref="C318:H318"/>
    <mergeCell ref="C319:H319"/>
    <mergeCell ref="C320:H320"/>
    <mergeCell ref="C321:H321"/>
    <mergeCell ref="C322:H322"/>
    <mergeCell ref="C311:H311"/>
    <mergeCell ref="C312:H312"/>
    <mergeCell ref="C313:H313"/>
    <mergeCell ref="C314:H314"/>
    <mergeCell ref="C315:H315"/>
    <mergeCell ref="C316:H316"/>
    <mergeCell ref="C329:H329"/>
    <mergeCell ref="C330:H330"/>
    <mergeCell ref="C331:H331"/>
    <mergeCell ref="C332:H332"/>
    <mergeCell ref="C333:H333"/>
    <mergeCell ref="C334:H334"/>
    <mergeCell ref="C323:H323"/>
    <mergeCell ref="C324:H324"/>
    <mergeCell ref="C325:H325"/>
    <mergeCell ref="C326:H326"/>
    <mergeCell ref="C327:H327"/>
    <mergeCell ref="C328:H328"/>
    <mergeCell ref="C344:H344"/>
    <mergeCell ref="I344:J344"/>
    <mergeCell ref="K344:L344"/>
    <mergeCell ref="C346:H346"/>
    <mergeCell ref="I346:J346"/>
    <mergeCell ref="K346:L346"/>
    <mergeCell ref="C335:F335"/>
    <mergeCell ref="C336:F336"/>
    <mergeCell ref="A339:L339"/>
    <mergeCell ref="C342:H342"/>
    <mergeCell ref="I342:J342"/>
    <mergeCell ref="K342:L342"/>
    <mergeCell ref="C353:H353"/>
    <mergeCell ref="C354:H354"/>
    <mergeCell ref="C355:H355"/>
    <mergeCell ref="C356:H356"/>
    <mergeCell ref="C357:H357"/>
    <mergeCell ref="C358:H358"/>
    <mergeCell ref="C348:H348"/>
    <mergeCell ref="I348:J348"/>
    <mergeCell ref="K348:L348"/>
    <mergeCell ref="C351:H351"/>
    <mergeCell ref="I351:J351"/>
    <mergeCell ref="K351:L351"/>
    <mergeCell ref="C365:H365"/>
    <mergeCell ref="C366:H366"/>
    <mergeCell ref="C367:H367"/>
    <mergeCell ref="C368:H368"/>
    <mergeCell ref="C369:H369"/>
    <mergeCell ref="C370:H370"/>
    <mergeCell ref="C359:H359"/>
    <mergeCell ref="C360:H360"/>
    <mergeCell ref="C361:H361"/>
    <mergeCell ref="C362:H362"/>
    <mergeCell ref="C363:H363"/>
    <mergeCell ref="C364:H364"/>
    <mergeCell ref="C377:H377"/>
    <mergeCell ref="C378:H378"/>
    <mergeCell ref="C379:H379"/>
    <mergeCell ref="C380:F380"/>
    <mergeCell ref="C381:F381"/>
    <mergeCell ref="A384:L384"/>
    <mergeCell ref="C371:H371"/>
    <mergeCell ref="C372:H372"/>
    <mergeCell ref="C373:H373"/>
    <mergeCell ref="C374:H374"/>
    <mergeCell ref="C375:H375"/>
    <mergeCell ref="C376:H376"/>
    <mergeCell ref="C411:H411"/>
    <mergeCell ref="I411:J411"/>
    <mergeCell ref="K411:L411"/>
    <mergeCell ref="C421:H421"/>
    <mergeCell ref="I421:J421"/>
    <mergeCell ref="K421:L421"/>
    <mergeCell ref="C393:H393"/>
    <mergeCell ref="I393:J393"/>
    <mergeCell ref="K393:L393"/>
    <mergeCell ref="C402:H402"/>
    <mergeCell ref="I402:J402"/>
    <mergeCell ref="K402:L402"/>
    <mergeCell ref="C429:H429"/>
    <mergeCell ref="C430:H430"/>
    <mergeCell ref="C431:H431"/>
    <mergeCell ref="C432:H432"/>
    <mergeCell ref="C433:H433"/>
    <mergeCell ref="C434:H434"/>
    <mergeCell ref="C423:H423"/>
    <mergeCell ref="C424:H424"/>
    <mergeCell ref="C425:H425"/>
    <mergeCell ref="C426:H426"/>
    <mergeCell ref="C427:H427"/>
    <mergeCell ref="C428:H428"/>
    <mergeCell ref="C441:H441"/>
    <mergeCell ref="C442:H442"/>
    <mergeCell ref="C443:H443"/>
    <mergeCell ref="C444:H444"/>
    <mergeCell ref="C445:H445"/>
    <mergeCell ref="C446:H446"/>
    <mergeCell ref="C435:H435"/>
    <mergeCell ref="C436:H436"/>
    <mergeCell ref="C437:H437"/>
    <mergeCell ref="C438:H438"/>
    <mergeCell ref="C439:H439"/>
    <mergeCell ref="C440:H440"/>
    <mergeCell ref="C456:H456"/>
    <mergeCell ref="C457:H457"/>
    <mergeCell ref="C458:H458"/>
    <mergeCell ref="C459:H459"/>
    <mergeCell ref="C460:H460"/>
    <mergeCell ref="C461:H461"/>
    <mergeCell ref="C447:H447"/>
    <mergeCell ref="C448:H448"/>
    <mergeCell ref="C449:H449"/>
    <mergeCell ref="C450:F450"/>
    <mergeCell ref="C451:F451"/>
    <mergeCell ref="C454:H454"/>
    <mergeCell ref="C468:H468"/>
    <mergeCell ref="C469:H469"/>
    <mergeCell ref="C470:H470"/>
    <mergeCell ref="C471:H471"/>
    <mergeCell ref="C472:H472"/>
    <mergeCell ref="C473:H473"/>
    <mergeCell ref="C462:H462"/>
    <mergeCell ref="C463:H463"/>
    <mergeCell ref="C464:H464"/>
    <mergeCell ref="C465:H465"/>
    <mergeCell ref="C466:H466"/>
    <mergeCell ref="C467:H467"/>
    <mergeCell ref="C481:H481"/>
    <mergeCell ref="C482:H482"/>
    <mergeCell ref="C483:H483"/>
    <mergeCell ref="C484:H484"/>
    <mergeCell ref="C485:H485"/>
    <mergeCell ref="C486:H486"/>
    <mergeCell ref="C474:H474"/>
    <mergeCell ref="C476:H476"/>
    <mergeCell ref="C477:H477"/>
    <mergeCell ref="C478:H478"/>
    <mergeCell ref="C479:H479"/>
    <mergeCell ref="C480:H480"/>
    <mergeCell ref="C493:H493"/>
    <mergeCell ref="C494:H494"/>
    <mergeCell ref="C496:H496"/>
    <mergeCell ref="C497:H497"/>
    <mergeCell ref="C498:H498"/>
    <mergeCell ref="C499:H499"/>
    <mergeCell ref="C487:H487"/>
    <mergeCell ref="C488:H488"/>
    <mergeCell ref="C489:H489"/>
    <mergeCell ref="C490:H490"/>
    <mergeCell ref="C491:H491"/>
    <mergeCell ref="C492:H492"/>
    <mergeCell ref="C507:H507"/>
    <mergeCell ref="C508:H508"/>
    <mergeCell ref="C509:H509"/>
    <mergeCell ref="C510:H510"/>
    <mergeCell ref="C511:H511"/>
    <mergeCell ref="C512:H512"/>
    <mergeCell ref="C501:H501"/>
    <mergeCell ref="C502:H502"/>
    <mergeCell ref="C503:H503"/>
    <mergeCell ref="C504:H504"/>
    <mergeCell ref="C505:H505"/>
    <mergeCell ref="C506:H506"/>
    <mergeCell ref="C519:H519"/>
    <mergeCell ref="C520:H520"/>
    <mergeCell ref="C521:H521"/>
    <mergeCell ref="C522:H522"/>
    <mergeCell ref="C523:H523"/>
    <mergeCell ref="C525:H525"/>
    <mergeCell ref="C513:H513"/>
    <mergeCell ref="C514:H514"/>
    <mergeCell ref="C515:H515"/>
    <mergeCell ref="C516:H516"/>
    <mergeCell ref="C517:H517"/>
    <mergeCell ref="C518:H518"/>
    <mergeCell ref="C532:H532"/>
    <mergeCell ref="C533:H533"/>
    <mergeCell ref="C534:H534"/>
    <mergeCell ref="C535:H535"/>
    <mergeCell ref="C536:H536"/>
    <mergeCell ref="C537:H537"/>
    <mergeCell ref="C526:H526"/>
    <mergeCell ref="C527:H527"/>
    <mergeCell ref="C528:H528"/>
    <mergeCell ref="C529:H529"/>
    <mergeCell ref="C530:H530"/>
    <mergeCell ref="C531:H531"/>
    <mergeCell ref="C544:H544"/>
    <mergeCell ref="C545:H545"/>
    <mergeCell ref="C546:H546"/>
    <mergeCell ref="C547:H547"/>
    <mergeCell ref="C548:H548"/>
    <mergeCell ref="C549:H549"/>
    <mergeCell ref="C538:H538"/>
    <mergeCell ref="C539:H539"/>
    <mergeCell ref="C540:H540"/>
    <mergeCell ref="C541:H541"/>
    <mergeCell ref="C542:H542"/>
    <mergeCell ref="C543:H543"/>
    <mergeCell ref="A566:B566"/>
    <mergeCell ref="C567:G567"/>
    <mergeCell ref="A569:B569"/>
    <mergeCell ref="C570:G570"/>
    <mergeCell ref="C550:H550"/>
    <mergeCell ref="C551:H551"/>
    <mergeCell ref="C552:F552"/>
    <mergeCell ref="C553:F553"/>
    <mergeCell ref="C555:K555"/>
  </mergeCells>
  <pageMargins left="0.39370078740157483" right="0.19685039370078741" top="0.39370078740157483" bottom="0.39370078740157483" header="0.19685039370078741" footer="0.19685039370078741"/>
  <pageSetup paperSize="9" scale="45" fitToHeight="0" orientation="portrait" r:id="rId1"/>
  <headerFooter>
    <oddHeader>&amp;L&amp;8</oddHead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39F902-0DD1-47F3-B865-BD37E40AE463}">
  <dimension ref="A1:IK354"/>
  <sheetViews>
    <sheetView workbookViewId="0">
      <selection activeCell="A350" sqref="A350:AX350"/>
    </sheetView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0</v>
      </c>
      <c r="L1">
        <v>34136</v>
      </c>
      <c r="M1">
        <v>10</v>
      </c>
      <c r="N1">
        <v>11</v>
      </c>
      <c r="O1">
        <v>11</v>
      </c>
      <c r="P1">
        <v>0</v>
      </c>
      <c r="Q1">
        <v>0</v>
      </c>
    </row>
    <row r="12" spans="1:133" x14ac:dyDescent="0.2">
      <c r="A12" s="1">
        <v>1</v>
      </c>
      <c r="B12" s="1">
        <v>348</v>
      </c>
      <c r="C12" s="1">
        <v>0</v>
      </c>
      <c r="D12" s="1">
        <f>ROW(A289)</f>
        <v>289</v>
      </c>
      <c r="E12" s="1">
        <v>0</v>
      </c>
      <c r="F12" s="1" t="s">
        <v>4</v>
      </c>
      <c r="G12" s="1" t="s">
        <v>5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523</v>
      </c>
      <c r="N12" s="1"/>
      <c r="O12" s="1">
        <v>0</v>
      </c>
      <c r="P12" s="1">
        <v>0</v>
      </c>
      <c r="Q12" s="1">
        <v>7</v>
      </c>
      <c r="R12" s="1">
        <v>0</v>
      </c>
      <c r="S12" s="1"/>
      <c r="T12" s="1">
        <v>4</v>
      </c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6</v>
      </c>
      <c r="AC12" s="1" t="s">
        <v>3</v>
      </c>
      <c r="AD12" s="1" t="s">
        <v>7</v>
      </c>
      <c r="AE12" s="1" t="s">
        <v>3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>
        <v>0</v>
      </c>
      <c r="BC12" s="1"/>
      <c r="BD12" s="1"/>
      <c r="BE12" s="1"/>
      <c r="BF12" s="1"/>
      <c r="BG12" s="1"/>
      <c r="BH12" s="1" t="s">
        <v>8</v>
      </c>
      <c r="BI12" s="1" t="s">
        <v>9</v>
      </c>
      <c r="BJ12" s="1">
        <v>0</v>
      </c>
      <c r="BK12" s="1">
        <v>0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1</v>
      </c>
      <c r="BW12" s="1">
        <v>0</v>
      </c>
      <c r="BX12" s="1">
        <v>0</v>
      </c>
      <c r="BY12" s="1" t="s">
        <v>10</v>
      </c>
      <c r="BZ12" s="1" t="s">
        <v>11</v>
      </c>
      <c r="CA12" s="1" t="s">
        <v>12</v>
      </c>
      <c r="CB12" s="1" t="s">
        <v>12</v>
      </c>
      <c r="CC12" s="1" t="s">
        <v>12</v>
      </c>
      <c r="CD12" s="1" t="s">
        <v>12</v>
      </c>
      <c r="CE12" s="1" t="s">
        <v>13</v>
      </c>
      <c r="CF12" s="1">
        <v>0</v>
      </c>
      <c r="CG12" s="1">
        <v>0</v>
      </c>
      <c r="CH12" s="1">
        <v>487063560</v>
      </c>
      <c r="CI12" s="1" t="s">
        <v>3</v>
      </c>
      <c r="CJ12" s="1" t="s">
        <v>3</v>
      </c>
      <c r="CK12" s="1">
        <v>12</v>
      </c>
      <c r="CL12" s="1"/>
      <c r="CM12" s="1"/>
      <c r="CN12" s="1"/>
      <c r="CO12" s="1"/>
      <c r="CP12" s="1"/>
      <c r="CQ12" s="1" t="s">
        <v>14</v>
      </c>
      <c r="CR12" s="1" t="s">
        <v>15</v>
      </c>
      <c r="CS12" s="1">
        <v>45603</v>
      </c>
      <c r="CT12" s="1">
        <v>505</v>
      </c>
      <c r="CU12" s="1">
        <v>12</v>
      </c>
      <c r="CV12" s="1" t="s">
        <v>386</v>
      </c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5" spans="1:133" x14ac:dyDescent="0.2">
      <c r="A15" s="1">
        <v>15</v>
      </c>
      <c r="B15" s="1">
        <v>1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</row>
    <row r="18" spans="1:206" x14ac:dyDescent="0.2">
      <c r="A18" s="2">
        <v>52</v>
      </c>
      <c r="B18" s="2">
        <f t="shared" ref="B18:G18" si="0">B289</f>
        <v>348</v>
      </c>
      <c r="C18" s="2">
        <f t="shared" si="0"/>
        <v>1</v>
      </c>
      <c r="D18" s="2">
        <f t="shared" si="0"/>
        <v>12</v>
      </c>
      <c r="E18" s="2">
        <f t="shared" si="0"/>
        <v>0</v>
      </c>
      <c r="F18" s="2" t="str">
        <f t="shared" si="0"/>
        <v>Новый объект</v>
      </c>
      <c r="G18" s="2" t="str">
        <f t="shared" si="0"/>
        <v>КЛ-10кВ</v>
      </c>
      <c r="H18" s="2"/>
      <c r="I18" s="2"/>
      <c r="J18" s="2"/>
      <c r="K18" s="2"/>
      <c r="L18" s="2"/>
      <c r="M18" s="2"/>
      <c r="N18" s="2"/>
      <c r="O18" s="2">
        <f t="shared" ref="O18:AT18" si="1">O289</f>
        <v>7307779.3799999999</v>
      </c>
      <c r="P18" s="2">
        <f t="shared" si="1"/>
        <v>5713531.8099999996</v>
      </c>
      <c r="Q18" s="2">
        <f t="shared" si="1"/>
        <v>156985.06</v>
      </c>
      <c r="R18" s="2">
        <f t="shared" si="1"/>
        <v>90692.11</v>
      </c>
      <c r="S18" s="2">
        <f t="shared" si="1"/>
        <v>1346570.4</v>
      </c>
      <c r="T18" s="2">
        <f t="shared" si="1"/>
        <v>0</v>
      </c>
      <c r="U18" s="2">
        <f t="shared" si="1"/>
        <v>3215.768</v>
      </c>
      <c r="V18" s="2">
        <f t="shared" si="1"/>
        <v>169.30079999999998</v>
      </c>
      <c r="W18" s="2">
        <f t="shared" si="1"/>
        <v>0</v>
      </c>
      <c r="X18" s="2">
        <f t="shared" si="1"/>
        <v>1351270.59</v>
      </c>
      <c r="Y18" s="2">
        <f t="shared" si="1"/>
        <v>708763.25</v>
      </c>
      <c r="Z18" s="2">
        <f t="shared" si="1"/>
        <v>0</v>
      </c>
      <c r="AA18" s="2">
        <f t="shared" si="1"/>
        <v>0</v>
      </c>
      <c r="AB18" s="2">
        <f t="shared" si="1"/>
        <v>0</v>
      </c>
      <c r="AC18" s="2">
        <f t="shared" si="1"/>
        <v>0</v>
      </c>
      <c r="AD18" s="2">
        <f t="shared" si="1"/>
        <v>0</v>
      </c>
      <c r="AE18" s="2">
        <f t="shared" si="1"/>
        <v>0</v>
      </c>
      <c r="AF18" s="2">
        <f t="shared" si="1"/>
        <v>0</v>
      </c>
      <c r="AG18" s="2">
        <f t="shared" si="1"/>
        <v>0</v>
      </c>
      <c r="AH18" s="2">
        <f t="shared" si="1"/>
        <v>0</v>
      </c>
      <c r="AI18" s="2">
        <f t="shared" si="1"/>
        <v>0</v>
      </c>
      <c r="AJ18" s="2">
        <f t="shared" si="1"/>
        <v>0</v>
      </c>
      <c r="AK18" s="2">
        <f t="shared" si="1"/>
        <v>0</v>
      </c>
      <c r="AL18" s="2">
        <f t="shared" si="1"/>
        <v>0</v>
      </c>
      <c r="AM18" s="2">
        <f t="shared" si="1"/>
        <v>0</v>
      </c>
      <c r="AN18" s="2">
        <f t="shared" si="1"/>
        <v>0</v>
      </c>
      <c r="AO18" s="2">
        <f t="shared" si="1"/>
        <v>0</v>
      </c>
      <c r="AP18" s="2">
        <f t="shared" si="1"/>
        <v>0</v>
      </c>
      <c r="AQ18" s="2">
        <f t="shared" si="1"/>
        <v>0</v>
      </c>
      <c r="AR18" s="2">
        <f t="shared" si="1"/>
        <v>9367813.2200000007</v>
      </c>
      <c r="AS18" s="2">
        <f t="shared" si="1"/>
        <v>2703224.14</v>
      </c>
      <c r="AT18" s="2">
        <f t="shared" si="1"/>
        <v>6633851.7999999998</v>
      </c>
      <c r="AU18" s="2">
        <f t="shared" ref="AU18:BZ18" si="2">AU289</f>
        <v>30737.279999999999</v>
      </c>
      <c r="AV18" s="2">
        <f t="shared" si="2"/>
        <v>5713531.8099999996</v>
      </c>
      <c r="AW18" s="2">
        <f t="shared" si="2"/>
        <v>5713531.8099999996</v>
      </c>
      <c r="AX18" s="2">
        <f t="shared" si="2"/>
        <v>0</v>
      </c>
      <c r="AY18" s="2">
        <f t="shared" si="2"/>
        <v>5713531.8099999996</v>
      </c>
      <c r="AZ18" s="2">
        <f t="shared" si="2"/>
        <v>0</v>
      </c>
      <c r="BA18" s="2">
        <f t="shared" si="2"/>
        <v>0</v>
      </c>
      <c r="BB18" s="2">
        <f t="shared" si="2"/>
        <v>0</v>
      </c>
      <c r="BC18" s="2">
        <f t="shared" si="2"/>
        <v>0</v>
      </c>
      <c r="BD18" s="2">
        <f t="shared" si="2"/>
        <v>0</v>
      </c>
      <c r="BE18" s="2">
        <f t="shared" si="2"/>
        <v>0</v>
      </c>
      <c r="BF18" s="2">
        <f t="shared" si="2"/>
        <v>0</v>
      </c>
      <c r="BG18" s="2">
        <f t="shared" si="2"/>
        <v>0</v>
      </c>
      <c r="BH18" s="2">
        <f t="shared" si="2"/>
        <v>0</v>
      </c>
      <c r="BI18" s="2">
        <f t="shared" si="2"/>
        <v>0</v>
      </c>
      <c r="BJ18" s="2">
        <f t="shared" si="2"/>
        <v>0</v>
      </c>
      <c r="BK18" s="2">
        <f t="shared" si="2"/>
        <v>0</v>
      </c>
      <c r="BL18" s="2">
        <f t="shared" si="2"/>
        <v>0</v>
      </c>
      <c r="BM18" s="2">
        <f t="shared" si="2"/>
        <v>0</v>
      </c>
      <c r="BN18" s="2">
        <f t="shared" si="2"/>
        <v>0</v>
      </c>
      <c r="BO18" s="2">
        <f t="shared" si="2"/>
        <v>0</v>
      </c>
      <c r="BP18" s="2">
        <f t="shared" si="2"/>
        <v>0</v>
      </c>
      <c r="BQ18" s="2">
        <f t="shared" si="2"/>
        <v>0</v>
      </c>
      <c r="BR18" s="2">
        <f t="shared" si="2"/>
        <v>0</v>
      </c>
      <c r="BS18" s="2">
        <f t="shared" si="2"/>
        <v>0</v>
      </c>
      <c r="BT18" s="2">
        <f t="shared" si="2"/>
        <v>0</v>
      </c>
      <c r="BU18" s="2">
        <f t="shared" si="2"/>
        <v>0</v>
      </c>
      <c r="BV18" s="2">
        <f t="shared" si="2"/>
        <v>0</v>
      </c>
      <c r="BW18" s="2">
        <f t="shared" si="2"/>
        <v>0</v>
      </c>
      <c r="BX18" s="2">
        <f t="shared" si="2"/>
        <v>0</v>
      </c>
      <c r="BY18" s="2">
        <f t="shared" si="2"/>
        <v>0</v>
      </c>
      <c r="BZ18" s="2">
        <f t="shared" si="2"/>
        <v>0</v>
      </c>
      <c r="CA18" s="2">
        <f t="shared" ref="CA18:DF18" si="3">CA289</f>
        <v>0</v>
      </c>
      <c r="CB18" s="2">
        <f t="shared" si="3"/>
        <v>0</v>
      </c>
      <c r="CC18" s="2">
        <f t="shared" si="3"/>
        <v>0</v>
      </c>
      <c r="CD18" s="2">
        <f t="shared" si="3"/>
        <v>0</v>
      </c>
      <c r="CE18" s="2">
        <f t="shared" si="3"/>
        <v>0</v>
      </c>
      <c r="CF18" s="2">
        <f t="shared" si="3"/>
        <v>0</v>
      </c>
      <c r="CG18" s="2">
        <f t="shared" si="3"/>
        <v>0</v>
      </c>
      <c r="CH18" s="2">
        <f t="shared" si="3"/>
        <v>0</v>
      </c>
      <c r="CI18" s="2">
        <f t="shared" si="3"/>
        <v>0</v>
      </c>
      <c r="CJ18" s="2">
        <f t="shared" si="3"/>
        <v>0</v>
      </c>
      <c r="CK18" s="2">
        <f t="shared" si="3"/>
        <v>0</v>
      </c>
      <c r="CL18" s="2">
        <f t="shared" si="3"/>
        <v>0</v>
      </c>
      <c r="CM18" s="2">
        <f t="shared" si="3"/>
        <v>0</v>
      </c>
      <c r="CN18" s="2">
        <f t="shared" si="3"/>
        <v>0</v>
      </c>
      <c r="CO18" s="2">
        <f t="shared" si="3"/>
        <v>0</v>
      </c>
      <c r="CP18" s="2">
        <f t="shared" si="3"/>
        <v>0</v>
      </c>
      <c r="CQ18" s="2">
        <f t="shared" si="3"/>
        <v>0</v>
      </c>
      <c r="CR18" s="2">
        <f t="shared" si="3"/>
        <v>0</v>
      </c>
      <c r="CS18" s="2">
        <f t="shared" si="3"/>
        <v>0</v>
      </c>
      <c r="CT18" s="2">
        <f t="shared" si="3"/>
        <v>0</v>
      </c>
      <c r="CU18" s="2">
        <f t="shared" si="3"/>
        <v>0</v>
      </c>
      <c r="CV18" s="2">
        <f t="shared" si="3"/>
        <v>0</v>
      </c>
      <c r="CW18" s="2">
        <f t="shared" si="3"/>
        <v>0</v>
      </c>
      <c r="CX18" s="2">
        <f t="shared" si="3"/>
        <v>0</v>
      </c>
      <c r="CY18" s="2">
        <f t="shared" si="3"/>
        <v>0</v>
      </c>
      <c r="CZ18" s="2">
        <f t="shared" si="3"/>
        <v>0</v>
      </c>
      <c r="DA18" s="2">
        <f t="shared" si="3"/>
        <v>0</v>
      </c>
      <c r="DB18" s="2">
        <f t="shared" si="3"/>
        <v>0</v>
      </c>
      <c r="DC18" s="2">
        <f t="shared" si="3"/>
        <v>0</v>
      </c>
      <c r="DD18" s="2">
        <f t="shared" si="3"/>
        <v>0</v>
      </c>
      <c r="DE18" s="2">
        <f t="shared" si="3"/>
        <v>0</v>
      </c>
      <c r="DF18" s="2">
        <f t="shared" si="3"/>
        <v>0</v>
      </c>
      <c r="DG18" s="3">
        <f t="shared" ref="DG18:EL18" si="4">DG289</f>
        <v>0</v>
      </c>
      <c r="DH18" s="3">
        <f t="shared" si="4"/>
        <v>0</v>
      </c>
      <c r="DI18" s="3">
        <f t="shared" si="4"/>
        <v>0</v>
      </c>
      <c r="DJ18" s="3">
        <f t="shared" si="4"/>
        <v>0</v>
      </c>
      <c r="DK18" s="3">
        <f t="shared" si="4"/>
        <v>0</v>
      </c>
      <c r="DL18" s="3">
        <f t="shared" si="4"/>
        <v>0</v>
      </c>
      <c r="DM18" s="3">
        <f t="shared" si="4"/>
        <v>0</v>
      </c>
      <c r="DN18" s="3">
        <f t="shared" si="4"/>
        <v>0</v>
      </c>
      <c r="DO18" s="3">
        <f t="shared" si="4"/>
        <v>0</v>
      </c>
      <c r="DP18" s="3">
        <f t="shared" si="4"/>
        <v>0</v>
      </c>
      <c r="DQ18" s="3">
        <f t="shared" si="4"/>
        <v>0</v>
      </c>
      <c r="DR18" s="3">
        <f t="shared" si="4"/>
        <v>0</v>
      </c>
      <c r="DS18" s="3">
        <f t="shared" si="4"/>
        <v>0</v>
      </c>
      <c r="DT18" s="3">
        <f t="shared" si="4"/>
        <v>0</v>
      </c>
      <c r="DU18" s="3">
        <f t="shared" si="4"/>
        <v>0</v>
      </c>
      <c r="DV18" s="3">
        <f t="shared" si="4"/>
        <v>0</v>
      </c>
      <c r="DW18" s="3">
        <f t="shared" si="4"/>
        <v>0</v>
      </c>
      <c r="DX18" s="3">
        <f t="shared" si="4"/>
        <v>0</v>
      </c>
      <c r="DY18" s="3">
        <f t="shared" si="4"/>
        <v>0</v>
      </c>
      <c r="DZ18" s="3">
        <f t="shared" si="4"/>
        <v>0</v>
      </c>
      <c r="EA18" s="3">
        <f t="shared" si="4"/>
        <v>0</v>
      </c>
      <c r="EB18" s="3">
        <f t="shared" si="4"/>
        <v>0</v>
      </c>
      <c r="EC18" s="3">
        <f t="shared" si="4"/>
        <v>0</v>
      </c>
      <c r="ED18" s="3">
        <f t="shared" si="4"/>
        <v>0</v>
      </c>
      <c r="EE18" s="3">
        <f t="shared" si="4"/>
        <v>0</v>
      </c>
      <c r="EF18" s="3">
        <f t="shared" si="4"/>
        <v>0</v>
      </c>
      <c r="EG18" s="3">
        <f t="shared" si="4"/>
        <v>0</v>
      </c>
      <c r="EH18" s="3">
        <f t="shared" si="4"/>
        <v>0</v>
      </c>
      <c r="EI18" s="3">
        <f t="shared" si="4"/>
        <v>0</v>
      </c>
      <c r="EJ18" s="3">
        <f t="shared" si="4"/>
        <v>0</v>
      </c>
      <c r="EK18" s="3">
        <f t="shared" si="4"/>
        <v>0</v>
      </c>
      <c r="EL18" s="3">
        <f t="shared" si="4"/>
        <v>0</v>
      </c>
      <c r="EM18" s="3">
        <f t="shared" ref="EM18:FR18" si="5">EM289</f>
        <v>0</v>
      </c>
      <c r="EN18" s="3">
        <f t="shared" si="5"/>
        <v>0</v>
      </c>
      <c r="EO18" s="3">
        <f t="shared" si="5"/>
        <v>0</v>
      </c>
      <c r="EP18" s="3">
        <f t="shared" si="5"/>
        <v>0</v>
      </c>
      <c r="EQ18" s="3">
        <f t="shared" si="5"/>
        <v>0</v>
      </c>
      <c r="ER18" s="3">
        <f t="shared" si="5"/>
        <v>0</v>
      </c>
      <c r="ES18" s="3">
        <f t="shared" si="5"/>
        <v>0</v>
      </c>
      <c r="ET18" s="3">
        <f t="shared" si="5"/>
        <v>0</v>
      </c>
      <c r="EU18" s="3">
        <f t="shared" si="5"/>
        <v>0</v>
      </c>
      <c r="EV18" s="3">
        <f t="shared" si="5"/>
        <v>0</v>
      </c>
      <c r="EW18" s="3">
        <f t="shared" si="5"/>
        <v>0</v>
      </c>
      <c r="EX18" s="3">
        <f t="shared" si="5"/>
        <v>0</v>
      </c>
      <c r="EY18" s="3">
        <f t="shared" si="5"/>
        <v>0</v>
      </c>
      <c r="EZ18" s="3">
        <f t="shared" si="5"/>
        <v>0</v>
      </c>
      <c r="FA18" s="3">
        <f t="shared" si="5"/>
        <v>0</v>
      </c>
      <c r="FB18" s="3">
        <f t="shared" si="5"/>
        <v>0</v>
      </c>
      <c r="FC18" s="3">
        <f t="shared" si="5"/>
        <v>0</v>
      </c>
      <c r="FD18" s="3">
        <f t="shared" si="5"/>
        <v>0</v>
      </c>
      <c r="FE18" s="3">
        <f t="shared" si="5"/>
        <v>0</v>
      </c>
      <c r="FF18" s="3">
        <f t="shared" si="5"/>
        <v>0</v>
      </c>
      <c r="FG18" s="3">
        <f t="shared" si="5"/>
        <v>0</v>
      </c>
      <c r="FH18" s="3">
        <f t="shared" si="5"/>
        <v>0</v>
      </c>
      <c r="FI18" s="3">
        <f t="shared" si="5"/>
        <v>0</v>
      </c>
      <c r="FJ18" s="3">
        <f t="shared" si="5"/>
        <v>0</v>
      </c>
      <c r="FK18" s="3">
        <f t="shared" si="5"/>
        <v>0</v>
      </c>
      <c r="FL18" s="3">
        <f t="shared" si="5"/>
        <v>0</v>
      </c>
      <c r="FM18" s="3">
        <f t="shared" si="5"/>
        <v>0</v>
      </c>
      <c r="FN18" s="3">
        <f t="shared" si="5"/>
        <v>0</v>
      </c>
      <c r="FO18" s="3">
        <f t="shared" si="5"/>
        <v>0</v>
      </c>
      <c r="FP18" s="3">
        <f t="shared" si="5"/>
        <v>0</v>
      </c>
      <c r="FQ18" s="3">
        <f t="shared" si="5"/>
        <v>0</v>
      </c>
      <c r="FR18" s="3">
        <f t="shared" si="5"/>
        <v>0</v>
      </c>
      <c r="FS18" s="3">
        <f t="shared" ref="FS18:GX18" si="6">FS289</f>
        <v>0</v>
      </c>
      <c r="FT18" s="3">
        <f t="shared" si="6"/>
        <v>0</v>
      </c>
      <c r="FU18" s="3">
        <f t="shared" si="6"/>
        <v>0</v>
      </c>
      <c r="FV18" s="3">
        <f t="shared" si="6"/>
        <v>0</v>
      </c>
      <c r="FW18" s="3">
        <f t="shared" si="6"/>
        <v>0</v>
      </c>
      <c r="FX18" s="3">
        <f t="shared" si="6"/>
        <v>0</v>
      </c>
      <c r="FY18" s="3">
        <f t="shared" si="6"/>
        <v>0</v>
      </c>
      <c r="FZ18" s="3">
        <f t="shared" si="6"/>
        <v>0</v>
      </c>
      <c r="GA18" s="3">
        <f t="shared" si="6"/>
        <v>0</v>
      </c>
      <c r="GB18" s="3">
        <f t="shared" si="6"/>
        <v>0</v>
      </c>
      <c r="GC18" s="3">
        <f t="shared" si="6"/>
        <v>0</v>
      </c>
      <c r="GD18" s="3">
        <f t="shared" si="6"/>
        <v>0</v>
      </c>
      <c r="GE18" s="3">
        <f t="shared" si="6"/>
        <v>0</v>
      </c>
      <c r="GF18" s="3">
        <f t="shared" si="6"/>
        <v>0</v>
      </c>
      <c r="GG18" s="3">
        <f t="shared" si="6"/>
        <v>0</v>
      </c>
      <c r="GH18" s="3">
        <f t="shared" si="6"/>
        <v>0</v>
      </c>
      <c r="GI18" s="3">
        <f t="shared" si="6"/>
        <v>0</v>
      </c>
      <c r="GJ18" s="3">
        <f t="shared" si="6"/>
        <v>0</v>
      </c>
      <c r="GK18" s="3">
        <f t="shared" si="6"/>
        <v>0</v>
      </c>
      <c r="GL18" s="3">
        <f t="shared" si="6"/>
        <v>0</v>
      </c>
      <c r="GM18" s="3">
        <f t="shared" si="6"/>
        <v>0</v>
      </c>
      <c r="GN18" s="3">
        <f t="shared" si="6"/>
        <v>0</v>
      </c>
      <c r="GO18" s="3">
        <f t="shared" si="6"/>
        <v>0</v>
      </c>
      <c r="GP18" s="3">
        <f t="shared" si="6"/>
        <v>0</v>
      </c>
      <c r="GQ18" s="3">
        <f t="shared" si="6"/>
        <v>0</v>
      </c>
      <c r="GR18" s="3">
        <f t="shared" si="6"/>
        <v>0</v>
      </c>
      <c r="GS18" s="3">
        <f t="shared" si="6"/>
        <v>0</v>
      </c>
      <c r="GT18" s="3">
        <f t="shared" si="6"/>
        <v>0</v>
      </c>
      <c r="GU18" s="3">
        <f t="shared" si="6"/>
        <v>0</v>
      </c>
      <c r="GV18" s="3">
        <f t="shared" si="6"/>
        <v>0</v>
      </c>
      <c r="GW18" s="3">
        <f t="shared" si="6"/>
        <v>0</v>
      </c>
      <c r="GX18" s="3">
        <f t="shared" si="6"/>
        <v>0</v>
      </c>
    </row>
    <row r="20" spans="1:206" x14ac:dyDescent="0.2">
      <c r="A20" s="1">
        <v>3</v>
      </c>
      <c r="B20" s="1">
        <v>0</v>
      </c>
      <c r="C20" s="1"/>
      <c r="D20" s="1">
        <f>ROW(A24)</f>
        <v>24</v>
      </c>
      <c r="E20" s="1"/>
      <c r="F20" s="1" t="s">
        <v>3</v>
      </c>
      <c r="G20" s="1" t="s">
        <v>16</v>
      </c>
      <c r="H20" s="1" t="s">
        <v>3</v>
      </c>
      <c r="I20" s="1">
        <v>0</v>
      </c>
      <c r="J20" s="1" t="s">
        <v>3</v>
      </c>
      <c r="K20" s="1">
        <v>0</v>
      </c>
      <c r="L20" s="1" t="s">
        <v>16</v>
      </c>
      <c r="M20" s="1" t="s">
        <v>3</v>
      </c>
      <c r="N20" s="1"/>
      <c r="O20" s="1"/>
      <c r="P20" s="1"/>
      <c r="Q20" s="1"/>
      <c r="R20" s="1"/>
      <c r="S20" s="1">
        <v>0</v>
      </c>
      <c r="T20" s="1"/>
      <c r="U20" s="1" t="s">
        <v>3</v>
      </c>
      <c r="V20" s="1">
        <v>0</v>
      </c>
      <c r="W20" s="1"/>
      <c r="X20" s="1"/>
      <c r="Y20" s="1"/>
      <c r="Z20" s="1"/>
      <c r="AA20" s="1"/>
      <c r="AB20" s="1" t="s">
        <v>3</v>
      </c>
      <c r="AC20" s="1" t="s">
        <v>3</v>
      </c>
      <c r="AD20" s="1" t="s">
        <v>3</v>
      </c>
      <c r="AE20" s="1" t="s">
        <v>3</v>
      </c>
      <c r="AF20" s="1" t="s">
        <v>3</v>
      </c>
      <c r="AG20" s="1" t="s">
        <v>3</v>
      </c>
      <c r="AH20" s="1"/>
      <c r="AI20" s="1"/>
      <c r="AJ20" s="1"/>
      <c r="AK20" s="1"/>
      <c r="AL20" s="1"/>
      <c r="AM20" s="1"/>
      <c r="AN20" s="1"/>
      <c r="AO20" s="1"/>
      <c r="AP20" s="1" t="s">
        <v>3</v>
      </c>
      <c r="AQ20" s="1" t="s">
        <v>3</v>
      </c>
      <c r="AR20" s="1" t="s">
        <v>3</v>
      </c>
      <c r="AS20" s="1"/>
      <c r="AT20" s="1"/>
      <c r="AU20" s="1"/>
      <c r="AV20" s="1"/>
      <c r="AW20" s="1"/>
      <c r="AX20" s="1"/>
      <c r="AY20" s="1"/>
      <c r="AZ20" s="1" t="s">
        <v>3</v>
      </c>
      <c r="BA20" s="1"/>
      <c r="BB20" s="1" t="s">
        <v>3</v>
      </c>
      <c r="BC20" s="1" t="s">
        <v>3</v>
      </c>
      <c r="BD20" s="1" t="s">
        <v>3</v>
      </c>
      <c r="BE20" s="1" t="s">
        <v>3</v>
      </c>
      <c r="BF20" s="1" t="s">
        <v>3</v>
      </c>
      <c r="BG20" s="1" t="s">
        <v>3</v>
      </c>
      <c r="BH20" s="1" t="s">
        <v>3</v>
      </c>
      <c r="BI20" s="1" t="s">
        <v>3</v>
      </c>
      <c r="BJ20" s="1" t="s">
        <v>3</v>
      </c>
      <c r="BK20" s="1" t="s">
        <v>3</v>
      </c>
      <c r="BL20" s="1" t="s">
        <v>3</v>
      </c>
      <c r="BM20" s="1" t="s">
        <v>3</v>
      </c>
      <c r="BN20" s="1" t="s">
        <v>3</v>
      </c>
      <c r="BO20" s="1" t="s">
        <v>3</v>
      </c>
      <c r="BP20" s="1" t="s">
        <v>3</v>
      </c>
      <c r="BQ20" s="1"/>
      <c r="BR20" s="1"/>
      <c r="BS20" s="1"/>
      <c r="BT20" s="1"/>
      <c r="BU20" s="1"/>
      <c r="BV20" s="1"/>
      <c r="BW20" s="1"/>
      <c r="BX20" s="1">
        <v>0</v>
      </c>
      <c r="BY20" s="1"/>
      <c r="BZ20" s="1"/>
      <c r="CA20" s="1"/>
      <c r="CB20" s="1"/>
      <c r="CC20" s="1"/>
      <c r="CD20" s="1"/>
      <c r="CE20" s="1"/>
      <c r="CF20" s="1">
        <v>0</v>
      </c>
      <c r="CG20" s="1">
        <v>0</v>
      </c>
      <c r="CH20" s="1"/>
      <c r="CI20" s="1" t="s">
        <v>3</v>
      </c>
      <c r="CJ20" s="1" t="s">
        <v>3</v>
      </c>
      <c r="CK20" t="s">
        <v>3</v>
      </c>
      <c r="CL20" t="s">
        <v>3</v>
      </c>
      <c r="CM20" t="s">
        <v>3</v>
      </c>
      <c r="CN20" t="s">
        <v>3</v>
      </c>
      <c r="CO20" t="s">
        <v>3</v>
      </c>
      <c r="CP20" t="s">
        <v>3</v>
      </c>
      <c r="CQ20" t="s">
        <v>3</v>
      </c>
    </row>
    <row r="22" spans="1:206" x14ac:dyDescent="0.2">
      <c r="A22" s="2">
        <v>52</v>
      </c>
      <c r="B22" s="2">
        <f t="shared" ref="B22:G22" si="7">B24</f>
        <v>0</v>
      </c>
      <c r="C22" s="2">
        <f t="shared" si="7"/>
        <v>3</v>
      </c>
      <c r="D22" s="2">
        <f t="shared" si="7"/>
        <v>20</v>
      </c>
      <c r="E22" s="2">
        <f t="shared" si="7"/>
        <v>0</v>
      </c>
      <c r="F22" s="2" t="str">
        <f t="shared" si="7"/>
        <v/>
      </c>
      <c r="G22" s="2" t="str">
        <f t="shared" si="7"/>
        <v>Новая локальная смета</v>
      </c>
      <c r="H22" s="2"/>
      <c r="I22" s="2"/>
      <c r="J22" s="2"/>
      <c r="K22" s="2"/>
      <c r="L22" s="2"/>
      <c r="M22" s="2"/>
      <c r="N22" s="2"/>
      <c r="O22" s="2">
        <f t="shared" ref="O22:AT22" si="8">O24</f>
        <v>0</v>
      </c>
      <c r="P22" s="2">
        <f t="shared" si="8"/>
        <v>0</v>
      </c>
      <c r="Q22" s="2">
        <f t="shared" si="8"/>
        <v>0</v>
      </c>
      <c r="R22" s="2">
        <f t="shared" si="8"/>
        <v>0</v>
      </c>
      <c r="S22" s="2">
        <f t="shared" si="8"/>
        <v>0</v>
      </c>
      <c r="T22" s="2">
        <f t="shared" si="8"/>
        <v>0</v>
      </c>
      <c r="U22" s="2">
        <f t="shared" si="8"/>
        <v>0</v>
      </c>
      <c r="V22" s="2">
        <f t="shared" si="8"/>
        <v>0</v>
      </c>
      <c r="W22" s="2">
        <f t="shared" si="8"/>
        <v>0</v>
      </c>
      <c r="X22" s="2">
        <f t="shared" si="8"/>
        <v>0</v>
      </c>
      <c r="Y22" s="2">
        <f t="shared" si="8"/>
        <v>0</v>
      </c>
      <c r="Z22" s="2">
        <f t="shared" si="8"/>
        <v>0</v>
      </c>
      <c r="AA22" s="2">
        <f t="shared" si="8"/>
        <v>0</v>
      </c>
      <c r="AB22" s="2">
        <f t="shared" si="8"/>
        <v>0</v>
      </c>
      <c r="AC22" s="2">
        <f t="shared" si="8"/>
        <v>0</v>
      </c>
      <c r="AD22" s="2">
        <f t="shared" si="8"/>
        <v>0</v>
      </c>
      <c r="AE22" s="2">
        <f t="shared" si="8"/>
        <v>0</v>
      </c>
      <c r="AF22" s="2">
        <f t="shared" si="8"/>
        <v>0</v>
      </c>
      <c r="AG22" s="2">
        <f t="shared" si="8"/>
        <v>0</v>
      </c>
      <c r="AH22" s="2">
        <f t="shared" si="8"/>
        <v>0</v>
      </c>
      <c r="AI22" s="2">
        <f t="shared" si="8"/>
        <v>0</v>
      </c>
      <c r="AJ22" s="2">
        <f t="shared" si="8"/>
        <v>0</v>
      </c>
      <c r="AK22" s="2">
        <f t="shared" si="8"/>
        <v>0</v>
      </c>
      <c r="AL22" s="2">
        <f t="shared" si="8"/>
        <v>0</v>
      </c>
      <c r="AM22" s="2">
        <f t="shared" si="8"/>
        <v>0</v>
      </c>
      <c r="AN22" s="2">
        <f t="shared" si="8"/>
        <v>0</v>
      </c>
      <c r="AO22" s="2">
        <f t="shared" si="8"/>
        <v>0</v>
      </c>
      <c r="AP22" s="2">
        <f t="shared" si="8"/>
        <v>0</v>
      </c>
      <c r="AQ22" s="2">
        <f t="shared" si="8"/>
        <v>0</v>
      </c>
      <c r="AR22" s="2">
        <f t="shared" si="8"/>
        <v>0</v>
      </c>
      <c r="AS22" s="2">
        <f t="shared" si="8"/>
        <v>0</v>
      </c>
      <c r="AT22" s="2">
        <f t="shared" si="8"/>
        <v>0</v>
      </c>
      <c r="AU22" s="2">
        <f t="shared" ref="AU22:BZ22" si="9">AU24</f>
        <v>0</v>
      </c>
      <c r="AV22" s="2">
        <f t="shared" si="9"/>
        <v>0</v>
      </c>
      <c r="AW22" s="2">
        <f t="shared" si="9"/>
        <v>0</v>
      </c>
      <c r="AX22" s="2">
        <f t="shared" si="9"/>
        <v>0</v>
      </c>
      <c r="AY22" s="2">
        <f t="shared" si="9"/>
        <v>0</v>
      </c>
      <c r="AZ22" s="2">
        <f t="shared" si="9"/>
        <v>0</v>
      </c>
      <c r="BA22" s="2">
        <f t="shared" si="9"/>
        <v>0</v>
      </c>
      <c r="BB22" s="2">
        <f t="shared" si="9"/>
        <v>0</v>
      </c>
      <c r="BC22" s="2">
        <f t="shared" si="9"/>
        <v>0</v>
      </c>
      <c r="BD22" s="2">
        <f t="shared" si="9"/>
        <v>0</v>
      </c>
      <c r="BE22" s="2">
        <f t="shared" si="9"/>
        <v>0</v>
      </c>
      <c r="BF22" s="2">
        <f t="shared" si="9"/>
        <v>0</v>
      </c>
      <c r="BG22" s="2">
        <f t="shared" si="9"/>
        <v>0</v>
      </c>
      <c r="BH22" s="2">
        <f t="shared" si="9"/>
        <v>0</v>
      </c>
      <c r="BI22" s="2">
        <f t="shared" si="9"/>
        <v>0</v>
      </c>
      <c r="BJ22" s="2">
        <f t="shared" si="9"/>
        <v>0</v>
      </c>
      <c r="BK22" s="2">
        <f t="shared" si="9"/>
        <v>0</v>
      </c>
      <c r="BL22" s="2">
        <f t="shared" si="9"/>
        <v>0</v>
      </c>
      <c r="BM22" s="2">
        <f t="shared" si="9"/>
        <v>0</v>
      </c>
      <c r="BN22" s="2">
        <f t="shared" si="9"/>
        <v>0</v>
      </c>
      <c r="BO22" s="2">
        <f t="shared" si="9"/>
        <v>0</v>
      </c>
      <c r="BP22" s="2">
        <f t="shared" si="9"/>
        <v>0</v>
      </c>
      <c r="BQ22" s="2">
        <f t="shared" si="9"/>
        <v>0</v>
      </c>
      <c r="BR22" s="2">
        <f t="shared" si="9"/>
        <v>0</v>
      </c>
      <c r="BS22" s="2">
        <f t="shared" si="9"/>
        <v>0</v>
      </c>
      <c r="BT22" s="2">
        <f t="shared" si="9"/>
        <v>0</v>
      </c>
      <c r="BU22" s="2">
        <f t="shared" si="9"/>
        <v>0</v>
      </c>
      <c r="BV22" s="2">
        <f t="shared" si="9"/>
        <v>0</v>
      </c>
      <c r="BW22" s="2">
        <f t="shared" si="9"/>
        <v>0</v>
      </c>
      <c r="BX22" s="2">
        <f t="shared" si="9"/>
        <v>0</v>
      </c>
      <c r="BY22" s="2">
        <f t="shared" si="9"/>
        <v>0</v>
      </c>
      <c r="BZ22" s="2">
        <f t="shared" si="9"/>
        <v>0</v>
      </c>
      <c r="CA22" s="2">
        <f t="shared" ref="CA22:DF22" si="10">CA24</f>
        <v>0</v>
      </c>
      <c r="CB22" s="2">
        <f t="shared" si="10"/>
        <v>0</v>
      </c>
      <c r="CC22" s="2">
        <f t="shared" si="10"/>
        <v>0</v>
      </c>
      <c r="CD22" s="2">
        <f t="shared" si="10"/>
        <v>0</v>
      </c>
      <c r="CE22" s="2">
        <f t="shared" si="10"/>
        <v>0</v>
      </c>
      <c r="CF22" s="2">
        <f t="shared" si="10"/>
        <v>0</v>
      </c>
      <c r="CG22" s="2">
        <f t="shared" si="10"/>
        <v>0</v>
      </c>
      <c r="CH22" s="2">
        <f t="shared" si="10"/>
        <v>0</v>
      </c>
      <c r="CI22" s="2">
        <f t="shared" si="10"/>
        <v>0</v>
      </c>
      <c r="CJ22" s="2">
        <f t="shared" si="10"/>
        <v>0</v>
      </c>
      <c r="CK22" s="2">
        <f t="shared" si="10"/>
        <v>0</v>
      </c>
      <c r="CL22" s="2">
        <f t="shared" si="10"/>
        <v>0</v>
      </c>
      <c r="CM22" s="2">
        <f t="shared" si="10"/>
        <v>0</v>
      </c>
      <c r="CN22" s="2">
        <f t="shared" si="10"/>
        <v>0</v>
      </c>
      <c r="CO22" s="2">
        <f t="shared" si="10"/>
        <v>0</v>
      </c>
      <c r="CP22" s="2">
        <f t="shared" si="10"/>
        <v>0</v>
      </c>
      <c r="CQ22" s="2">
        <f t="shared" si="10"/>
        <v>0</v>
      </c>
      <c r="CR22" s="2">
        <f t="shared" si="10"/>
        <v>0</v>
      </c>
      <c r="CS22" s="2">
        <f t="shared" si="10"/>
        <v>0</v>
      </c>
      <c r="CT22" s="2">
        <f t="shared" si="10"/>
        <v>0</v>
      </c>
      <c r="CU22" s="2">
        <f t="shared" si="10"/>
        <v>0</v>
      </c>
      <c r="CV22" s="2">
        <f t="shared" si="10"/>
        <v>0</v>
      </c>
      <c r="CW22" s="2">
        <f t="shared" si="10"/>
        <v>0</v>
      </c>
      <c r="CX22" s="2">
        <f t="shared" si="10"/>
        <v>0</v>
      </c>
      <c r="CY22" s="2">
        <f t="shared" si="10"/>
        <v>0</v>
      </c>
      <c r="CZ22" s="2">
        <f t="shared" si="10"/>
        <v>0</v>
      </c>
      <c r="DA22" s="2">
        <f t="shared" si="10"/>
        <v>0</v>
      </c>
      <c r="DB22" s="2">
        <f t="shared" si="10"/>
        <v>0</v>
      </c>
      <c r="DC22" s="2">
        <f t="shared" si="10"/>
        <v>0</v>
      </c>
      <c r="DD22" s="2">
        <f t="shared" si="10"/>
        <v>0</v>
      </c>
      <c r="DE22" s="2">
        <f t="shared" si="10"/>
        <v>0</v>
      </c>
      <c r="DF22" s="2">
        <f t="shared" si="10"/>
        <v>0</v>
      </c>
      <c r="DG22" s="3">
        <f t="shared" ref="DG22:EL22" si="11">DG24</f>
        <v>0</v>
      </c>
      <c r="DH22" s="3">
        <f t="shared" si="11"/>
        <v>0</v>
      </c>
      <c r="DI22" s="3">
        <f t="shared" si="11"/>
        <v>0</v>
      </c>
      <c r="DJ22" s="3">
        <f t="shared" si="11"/>
        <v>0</v>
      </c>
      <c r="DK22" s="3">
        <f t="shared" si="11"/>
        <v>0</v>
      </c>
      <c r="DL22" s="3">
        <f t="shared" si="11"/>
        <v>0</v>
      </c>
      <c r="DM22" s="3">
        <f t="shared" si="11"/>
        <v>0</v>
      </c>
      <c r="DN22" s="3">
        <f t="shared" si="11"/>
        <v>0</v>
      </c>
      <c r="DO22" s="3">
        <f t="shared" si="11"/>
        <v>0</v>
      </c>
      <c r="DP22" s="3">
        <f t="shared" si="11"/>
        <v>0</v>
      </c>
      <c r="DQ22" s="3">
        <f t="shared" si="11"/>
        <v>0</v>
      </c>
      <c r="DR22" s="3">
        <f t="shared" si="11"/>
        <v>0</v>
      </c>
      <c r="DS22" s="3">
        <f t="shared" si="11"/>
        <v>0</v>
      </c>
      <c r="DT22" s="3">
        <f t="shared" si="11"/>
        <v>0</v>
      </c>
      <c r="DU22" s="3">
        <f t="shared" si="11"/>
        <v>0</v>
      </c>
      <c r="DV22" s="3">
        <f t="shared" si="11"/>
        <v>0</v>
      </c>
      <c r="DW22" s="3">
        <f t="shared" si="11"/>
        <v>0</v>
      </c>
      <c r="DX22" s="3">
        <f t="shared" si="11"/>
        <v>0</v>
      </c>
      <c r="DY22" s="3">
        <f t="shared" si="11"/>
        <v>0</v>
      </c>
      <c r="DZ22" s="3">
        <f t="shared" si="11"/>
        <v>0</v>
      </c>
      <c r="EA22" s="3">
        <f t="shared" si="11"/>
        <v>0</v>
      </c>
      <c r="EB22" s="3">
        <f t="shared" si="11"/>
        <v>0</v>
      </c>
      <c r="EC22" s="3">
        <f t="shared" si="11"/>
        <v>0</v>
      </c>
      <c r="ED22" s="3">
        <f t="shared" si="11"/>
        <v>0</v>
      </c>
      <c r="EE22" s="3">
        <f t="shared" si="11"/>
        <v>0</v>
      </c>
      <c r="EF22" s="3">
        <f t="shared" si="11"/>
        <v>0</v>
      </c>
      <c r="EG22" s="3">
        <f t="shared" si="11"/>
        <v>0</v>
      </c>
      <c r="EH22" s="3">
        <f t="shared" si="11"/>
        <v>0</v>
      </c>
      <c r="EI22" s="3">
        <f t="shared" si="11"/>
        <v>0</v>
      </c>
      <c r="EJ22" s="3">
        <f t="shared" si="11"/>
        <v>0</v>
      </c>
      <c r="EK22" s="3">
        <f t="shared" si="11"/>
        <v>0</v>
      </c>
      <c r="EL22" s="3">
        <f t="shared" si="11"/>
        <v>0</v>
      </c>
      <c r="EM22" s="3">
        <f t="shared" ref="EM22:FR22" si="12">EM24</f>
        <v>0</v>
      </c>
      <c r="EN22" s="3">
        <f t="shared" si="12"/>
        <v>0</v>
      </c>
      <c r="EO22" s="3">
        <f t="shared" si="12"/>
        <v>0</v>
      </c>
      <c r="EP22" s="3">
        <f t="shared" si="12"/>
        <v>0</v>
      </c>
      <c r="EQ22" s="3">
        <f t="shared" si="12"/>
        <v>0</v>
      </c>
      <c r="ER22" s="3">
        <f t="shared" si="12"/>
        <v>0</v>
      </c>
      <c r="ES22" s="3">
        <f t="shared" si="12"/>
        <v>0</v>
      </c>
      <c r="ET22" s="3">
        <f t="shared" si="12"/>
        <v>0</v>
      </c>
      <c r="EU22" s="3">
        <f t="shared" si="12"/>
        <v>0</v>
      </c>
      <c r="EV22" s="3">
        <f t="shared" si="12"/>
        <v>0</v>
      </c>
      <c r="EW22" s="3">
        <f t="shared" si="12"/>
        <v>0</v>
      </c>
      <c r="EX22" s="3">
        <f t="shared" si="12"/>
        <v>0</v>
      </c>
      <c r="EY22" s="3">
        <f t="shared" si="12"/>
        <v>0</v>
      </c>
      <c r="EZ22" s="3">
        <f t="shared" si="12"/>
        <v>0</v>
      </c>
      <c r="FA22" s="3">
        <f t="shared" si="12"/>
        <v>0</v>
      </c>
      <c r="FB22" s="3">
        <f t="shared" si="12"/>
        <v>0</v>
      </c>
      <c r="FC22" s="3">
        <f t="shared" si="12"/>
        <v>0</v>
      </c>
      <c r="FD22" s="3">
        <f t="shared" si="12"/>
        <v>0</v>
      </c>
      <c r="FE22" s="3">
        <f t="shared" si="12"/>
        <v>0</v>
      </c>
      <c r="FF22" s="3">
        <f t="shared" si="12"/>
        <v>0</v>
      </c>
      <c r="FG22" s="3">
        <f t="shared" si="12"/>
        <v>0</v>
      </c>
      <c r="FH22" s="3">
        <f t="shared" si="12"/>
        <v>0</v>
      </c>
      <c r="FI22" s="3">
        <f t="shared" si="12"/>
        <v>0</v>
      </c>
      <c r="FJ22" s="3">
        <f t="shared" si="12"/>
        <v>0</v>
      </c>
      <c r="FK22" s="3">
        <f t="shared" si="12"/>
        <v>0</v>
      </c>
      <c r="FL22" s="3">
        <f t="shared" si="12"/>
        <v>0</v>
      </c>
      <c r="FM22" s="3">
        <f t="shared" si="12"/>
        <v>0</v>
      </c>
      <c r="FN22" s="3">
        <f t="shared" si="12"/>
        <v>0</v>
      </c>
      <c r="FO22" s="3">
        <f t="shared" si="12"/>
        <v>0</v>
      </c>
      <c r="FP22" s="3">
        <f t="shared" si="12"/>
        <v>0</v>
      </c>
      <c r="FQ22" s="3">
        <f t="shared" si="12"/>
        <v>0</v>
      </c>
      <c r="FR22" s="3">
        <f t="shared" si="12"/>
        <v>0</v>
      </c>
      <c r="FS22" s="3">
        <f t="shared" ref="FS22:GX22" si="13">FS24</f>
        <v>0</v>
      </c>
      <c r="FT22" s="3">
        <f t="shared" si="13"/>
        <v>0</v>
      </c>
      <c r="FU22" s="3">
        <f t="shared" si="13"/>
        <v>0</v>
      </c>
      <c r="FV22" s="3">
        <f t="shared" si="13"/>
        <v>0</v>
      </c>
      <c r="FW22" s="3">
        <f t="shared" si="13"/>
        <v>0</v>
      </c>
      <c r="FX22" s="3">
        <f t="shared" si="13"/>
        <v>0</v>
      </c>
      <c r="FY22" s="3">
        <f t="shared" si="13"/>
        <v>0</v>
      </c>
      <c r="FZ22" s="3">
        <f t="shared" si="13"/>
        <v>0</v>
      </c>
      <c r="GA22" s="3">
        <f t="shared" si="13"/>
        <v>0</v>
      </c>
      <c r="GB22" s="3">
        <f t="shared" si="13"/>
        <v>0</v>
      </c>
      <c r="GC22" s="3">
        <f t="shared" si="13"/>
        <v>0</v>
      </c>
      <c r="GD22" s="3">
        <f t="shared" si="13"/>
        <v>0</v>
      </c>
      <c r="GE22" s="3">
        <f t="shared" si="13"/>
        <v>0</v>
      </c>
      <c r="GF22" s="3">
        <f t="shared" si="13"/>
        <v>0</v>
      </c>
      <c r="GG22" s="3">
        <f t="shared" si="13"/>
        <v>0</v>
      </c>
      <c r="GH22" s="3">
        <f t="shared" si="13"/>
        <v>0</v>
      </c>
      <c r="GI22" s="3">
        <f t="shared" si="13"/>
        <v>0</v>
      </c>
      <c r="GJ22" s="3">
        <f t="shared" si="13"/>
        <v>0</v>
      </c>
      <c r="GK22" s="3">
        <f t="shared" si="13"/>
        <v>0</v>
      </c>
      <c r="GL22" s="3">
        <f t="shared" si="13"/>
        <v>0</v>
      </c>
      <c r="GM22" s="3">
        <f t="shared" si="13"/>
        <v>0</v>
      </c>
      <c r="GN22" s="3">
        <f t="shared" si="13"/>
        <v>0</v>
      </c>
      <c r="GO22" s="3">
        <f t="shared" si="13"/>
        <v>0</v>
      </c>
      <c r="GP22" s="3">
        <f t="shared" si="13"/>
        <v>0</v>
      </c>
      <c r="GQ22" s="3">
        <f t="shared" si="13"/>
        <v>0</v>
      </c>
      <c r="GR22" s="3">
        <f t="shared" si="13"/>
        <v>0</v>
      </c>
      <c r="GS22" s="3">
        <f t="shared" si="13"/>
        <v>0</v>
      </c>
      <c r="GT22" s="3">
        <f t="shared" si="13"/>
        <v>0</v>
      </c>
      <c r="GU22" s="3">
        <f t="shared" si="13"/>
        <v>0</v>
      </c>
      <c r="GV22" s="3">
        <f t="shared" si="13"/>
        <v>0</v>
      </c>
      <c r="GW22" s="3">
        <f t="shared" si="13"/>
        <v>0</v>
      </c>
      <c r="GX22" s="3">
        <f t="shared" si="13"/>
        <v>0</v>
      </c>
    </row>
    <row r="24" spans="1:206" x14ac:dyDescent="0.2">
      <c r="A24" s="2">
        <v>51</v>
      </c>
      <c r="B24" s="2">
        <f>B20</f>
        <v>0</v>
      </c>
      <c r="C24" s="2">
        <f>A20</f>
        <v>3</v>
      </c>
      <c r="D24" s="2">
        <f>ROW(A20)</f>
        <v>20</v>
      </c>
      <c r="E24" s="2"/>
      <c r="F24" s="2" t="str">
        <f>IF(F20&lt;&gt;"",F20,"")</f>
        <v/>
      </c>
      <c r="G24" s="2" t="str">
        <f>IF(G20&lt;&gt;"",G20,"")</f>
        <v>Новая локальная смета</v>
      </c>
      <c r="H24" s="2">
        <v>0</v>
      </c>
      <c r="I24" s="2"/>
      <c r="J24" s="2"/>
      <c r="K24" s="2"/>
      <c r="L24" s="2"/>
      <c r="M24" s="2"/>
      <c r="N24" s="2"/>
      <c r="O24" s="2">
        <f t="shared" ref="O24:Y24" si="14">AB24</f>
        <v>0</v>
      </c>
      <c r="P24" s="2">
        <f t="shared" si="14"/>
        <v>0</v>
      </c>
      <c r="Q24" s="2">
        <f t="shared" si="14"/>
        <v>0</v>
      </c>
      <c r="R24" s="2">
        <f t="shared" si="14"/>
        <v>0</v>
      </c>
      <c r="S24" s="2">
        <f t="shared" si="14"/>
        <v>0</v>
      </c>
      <c r="T24" s="2">
        <f t="shared" si="14"/>
        <v>0</v>
      </c>
      <c r="U24" s="2">
        <f t="shared" si="14"/>
        <v>0</v>
      </c>
      <c r="V24" s="2">
        <f t="shared" si="14"/>
        <v>0</v>
      </c>
      <c r="W24" s="2">
        <f t="shared" si="14"/>
        <v>0</v>
      </c>
      <c r="X24" s="2">
        <f t="shared" si="14"/>
        <v>0</v>
      </c>
      <c r="Y24" s="2">
        <f t="shared" si="14"/>
        <v>0</v>
      </c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>
        <f t="shared" ref="AO24:BD24" si="15">BX24</f>
        <v>0</v>
      </c>
      <c r="AP24" s="2">
        <f t="shared" si="15"/>
        <v>0</v>
      </c>
      <c r="AQ24" s="2">
        <f t="shared" si="15"/>
        <v>0</v>
      </c>
      <c r="AR24" s="2">
        <f t="shared" si="15"/>
        <v>0</v>
      </c>
      <c r="AS24" s="2">
        <f t="shared" si="15"/>
        <v>0</v>
      </c>
      <c r="AT24" s="2">
        <f t="shared" si="15"/>
        <v>0</v>
      </c>
      <c r="AU24" s="2">
        <f t="shared" si="15"/>
        <v>0</v>
      </c>
      <c r="AV24" s="2">
        <f t="shared" si="15"/>
        <v>0</v>
      </c>
      <c r="AW24" s="2">
        <f t="shared" si="15"/>
        <v>0</v>
      </c>
      <c r="AX24" s="2">
        <f t="shared" si="15"/>
        <v>0</v>
      </c>
      <c r="AY24" s="2">
        <f t="shared" si="15"/>
        <v>0</v>
      </c>
      <c r="AZ24" s="2">
        <f t="shared" si="15"/>
        <v>0</v>
      </c>
      <c r="BA24" s="2">
        <f t="shared" si="15"/>
        <v>0</v>
      </c>
      <c r="BB24" s="2">
        <f t="shared" si="15"/>
        <v>0</v>
      </c>
      <c r="BC24" s="2">
        <f t="shared" si="15"/>
        <v>0</v>
      </c>
      <c r="BD24" s="2">
        <f t="shared" si="15"/>
        <v>0</v>
      </c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>
        <v>0</v>
      </c>
    </row>
    <row r="26" spans="1:206" x14ac:dyDescent="0.2">
      <c r="A26" s="4">
        <v>50</v>
      </c>
      <c r="B26" s="4">
        <v>0</v>
      </c>
      <c r="C26" s="4">
        <v>0</v>
      </c>
      <c r="D26" s="4">
        <v>1</v>
      </c>
      <c r="E26" s="4">
        <v>201</v>
      </c>
      <c r="F26" s="4">
        <f>ROUND(Source!O24,O26)</f>
        <v>0</v>
      </c>
      <c r="G26" s="4" t="s">
        <v>17</v>
      </c>
      <c r="H26" s="4" t="s">
        <v>18</v>
      </c>
      <c r="I26" s="4"/>
      <c r="J26" s="4"/>
      <c r="K26" s="4">
        <v>201</v>
      </c>
      <c r="L26" s="4">
        <v>1</v>
      </c>
      <c r="M26" s="4">
        <v>3</v>
      </c>
      <c r="N26" s="4" t="s">
        <v>3</v>
      </c>
      <c r="O26" s="4">
        <v>0</v>
      </c>
      <c r="P26" s="4"/>
      <c r="Q26" s="4"/>
      <c r="R26" s="4"/>
      <c r="S26" s="4"/>
      <c r="T26" s="4"/>
      <c r="U26" s="4"/>
      <c r="V26" s="4"/>
      <c r="W26" s="4">
        <v>0</v>
      </c>
      <c r="X26" s="4">
        <v>1</v>
      </c>
      <c r="Y26" s="4">
        <v>0</v>
      </c>
      <c r="Z26" s="4"/>
      <c r="AA26" s="4"/>
      <c r="AB26" s="4"/>
    </row>
    <row r="27" spans="1:206" x14ac:dyDescent="0.2">
      <c r="A27" s="4">
        <v>50</v>
      </c>
      <c r="B27" s="4">
        <v>0</v>
      </c>
      <c r="C27" s="4">
        <v>0</v>
      </c>
      <c r="D27" s="4">
        <v>1</v>
      </c>
      <c r="E27" s="4">
        <v>202</v>
      </c>
      <c r="F27" s="4">
        <f>ROUND(Source!P24,O27)</f>
        <v>0</v>
      </c>
      <c r="G27" s="4" t="s">
        <v>19</v>
      </c>
      <c r="H27" s="4" t="s">
        <v>20</v>
      </c>
      <c r="I27" s="4"/>
      <c r="J27" s="4"/>
      <c r="K27" s="4">
        <v>202</v>
      </c>
      <c r="L27" s="4">
        <v>2</v>
      </c>
      <c r="M27" s="4">
        <v>3</v>
      </c>
      <c r="N27" s="4" t="s">
        <v>3</v>
      </c>
      <c r="O27" s="4">
        <v>0</v>
      </c>
      <c r="P27" s="4"/>
      <c r="Q27" s="4"/>
      <c r="R27" s="4"/>
      <c r="S27" s="4"/>
      <c r="T27" s="4"/>
      <c r="U27" s="4"/>
      <c r="V27" s="4"/>
      <c r="W27" s="4">
        <v>0</v>
      </c>
      <c r="X27" s="4">
        <v>1</v>
      </c>
      <c r="Y27" s="4">
        <v>0</v>
      </c>
      <c r="Z27" s="4"/>
      <c r="AA27" s="4"/>
      <c r="AB27" s="4"/>
    </row>
    <row r="28" spans="1:206" x14ac:dyDescent="0.2">
      <c r="A28" s="4">
        <v>50</v>
      </c>
      <c r="B28" s="4">
        <v>0</v>
      </c>
      <c r="C28" s="4">
        <v>0</v>
      </c>
      <c r="D28" s="4">
        <v>1</v>
      </c>
      <c r="E28" s="4">
        <v>222</v>
      </c>
      <c r="F28" s="4">
        <f>ROUND(Source!AO24,O28)</f>
        <v>0</v>
      </c>
      <c r="G28" s="4" t="s">
        <v>21</v>
      </c>
      <c r="H28" s="4" t="s">
        <v>22</v>
      </c>
      <c r="I28" s="4"/>
      <c r="J28" s="4"/>
      <c r="K28" s="4">
        <v>222</v>
      </c>
      <c r="L28" s="4">
        <v>3</v>
      </c>
      <c r="M28" s="4">
        <v>3</v>
      </c>
      <c r="N28" s="4" t="s">
        <v>3</v>
      </c>
      <c r="O28" s="4">
        <v>0</v>
      </c>
      <c r="P28" s="4"/>
      <c r="Q28" s="4"/>
      <c r="R28" s="4"/>
      <c r="S28" s="4"/>
      <c r="T28" s="4"/>
      <c r="U28" s="4"/>
      <c r="V28" s="4"/>
      <c r="W28" s="4">
        <v>0</v>
      </c>
      <c r="X28" s="4">
        <v>1</v>
      </c>
      <c r="Y28" s="4">
        <v>0</v>
      </c>
      <c r="Z28" s="4"/>
      <c r="AA28" s="4"/>
      <c r="AB28" s="4"/>
    </row>
    <row r="29" spans="1:206" x14ac:dyDescent="0.2">
      <c r="A29" s="4">
        <v>50</v>
      </c>
      <c r="B29" s="4">
        <v>0</v>
      </c>
      <c r="C29" s="4">
        <v>0</v>
      </c>
      <c r="D29" s="4">
        <v>1</v>
      </c>
      <c r="E29" s="4">
        <v>225</v>
      </c>
      <c r="F29" s="4">
        <f>ROUND(Source!AV24,O29)</f>
        <v>0</v>
      </c>
      <c r="G29" s="4" t="s">
        <v>23</v>
      </c>
      <c r="H29" s="4" t="s">
        <v>24</v>
      </c>
      <c r="I29" s="4"/>
      <c r="J29" s="4"/>
      <c r="K29" s="4">
        <v>225</v>
      </c>
      <c r="L29" s="4">
        <v>4</v>
      </c>
      <c r="M29" s="4">
        <v>3</v>
      </c>
      <c r="N29" s="4" t="s">
        <v>3</v>
      </c>
      <c r="O29" s="4">
        <v>0</v>
      </c>
      <c r="P29" s="4"/>
      <c r="Q29" s="4"/>
      <c r="R29" s="4"/>
      <c r="S29" s="4"/>
      <c r="T29" s="4"/>
      <c r="U29" s="4"/>
      <c r="V29" s="4"/>
      <c r="W29" s="4">
        <v>0</v>
      </c>
      <c r="X29" s="4">
        <v>1</v>
      </c>
      <c r="Y29" s="4">
        <v>0</v>
      </c>
      <c r="Z29" s="4"/>
      <c r="AA29" s="4"/>
      <c r="AB29" s="4"/>
    </row>
    <row r="30" spans="1:206" x14ac:dyDescent="0.2">
      <c r="A30" s="4">
        <v>50</v>
      </c>
      <c r="B30" s="4">
        <v>0</v>
      </c>
      <c r="C30" s="4">
        <v>0</v>
      </c>
      <c r="D30" s="4">
        <v>1</v>
      </c>
      <c r="E30" s="4">
        <v>226</v>
      </c>
      <c r="F30" s="4">
        <f>ROUND(Source!AW24,O30)</f>
        <v>0</v>
      </c>
      <c r="G30" s="4" t="s">
        <v>25</v>
      </c>
      <c r="H30" s="4" t="s">
        <v>26</v>
      </c>
      <c r="I30" s="4"/>
      <c r="J30" s="4"/>
      <c r="K30" s="4">
        <v>226</v>
      </c>
      <c r="L30" s="4">
        <v>5</v>
      </c>
      <c r="M30" s="4">
        <v>3</v>
      </c>
      <c r="N30" s="4" t="s">
        <v>3</v>
      </c>
      <c r="O30" s="4">
        <v>0</v>
      </c>
      <c r="P30" s="4"/>
      <c r="Q30" s="4"/>
      <c r="R30" s="4"/>
      <c r="S30" s="4"/>
      <c r="T30" s="4"/>
      <c r="U30" s="4"/>
      <c r="V30" s="4"/>
      <c r="W30" s="4">
        <v>0</v>
      </c>
      <c r="X30" s="4">
        <v>1</v>
      </c>
      <c r="Y30" s="4">
        <v>0</v>
      </c>
      <c r="Z30" s="4"/>
      <c r="AA30" s="4"/>
      <c r="AB30" s="4"/>
    </row>
    <row r="31" spans="1:206" x14ac:dyDescent="0.2">
      <c r="A31" s="4">
        <v>50</v>
      </c>
      <c r="B31" s="4">
        <v>0</v>
      </c>
      <c r="C31" s="4">
        <v>0</v>
      </c>
      <c r="D31" s="4">
        <v>1</v>
      </c>
      <c r="E31" s="4">
        <v>227</v>
      </c>
      <c r="F31" s="4">
        <f>ROUND(Source!AX24,O31)</f>
        <v>0</v>
      </c>
      <c r="G31" s="4" t="s">
        <v>27</v>
      </c>
      <c r="H31" s="4" t="s">
        <v>28</v>
      </c>
      <c r="I31" s="4"/>
      <c r="J31" s="4"/>
      <c r="K31" s="4">
        <v>227</v>
      </c>
      <c r="L31" s="4">
        <v>6</v>
      </c>
      <c r="M31" s="4">
        <v>3</v>
      </c>
      <c r="N31" s="4" t="s">
        <v>3</v>
      </c>
      <c r="O31" s="4">
        <v>0</v>
      </c>
      <c r="P31" s="4"/>
      <c r="Q31" s="4"/>
      <c r="R31" s="4"/>
      <c r="S31" s="4"/>
      <c r="T31" s="4"/>
      <c r="U31" s="4"/>
      <c r="V31" s="4"/>
      <c r="W31" s="4">
        <v>0</v>
      </c>
      <c r="X31" s="4">
        <v>1</v>
      </c>
      <c r="Y31" s="4">
        <v>0</v>
      </c>
      <c r="Z31" s="4"/>
      <c r="AA31" s="4"/>
      <c r="AB31" s="4"/>
    </row>
    <row r="32" spans="1:206" x14ac:dyDescent="0.2">
      <c r="A32" s="4">
        <v>50</v>
      </c>
      <c r="B32" s="4">
        <v>0</v>
      </c>
      <c r="C32" s="4">
        <v>0</v>
      </c>
      <c r="D32" s="4">
        <v>1</v>
      </c>
      <c r="E32" s="4">
        <v>228</v>
      </c>
      <c r="F32" s="4">
        <f>ROUND(Source!AY24,O32)</f>
        <v>0</v>
      </c>
      <c r="G32" s="4" t="s">
        <v>29</v>
      </c>
      <c r="H32" s="4" t="s">
        <v>30</v>
      </c>
      <c r="I32" s="4"/>
      <c r="J32" s="4"/>
      <c r="K32" s="4">
        <v>228</v>
      </c>
      <c r="L32" s="4">
        <v>7</v>
      </c>
      <c r="M32" s="4">
        <v>3</v>
      </c>
      <c r="N32" s="4" t="s">
        <v>3</v>
      </c>
      <c r="O32" s="4">
        <v>0</v>
      </c>
      <c r="P32" s="4"/>
      <c r="Q32" s="4"/>
      <c r="R32" s="4"/>
      <c r="S32" s="4"/>
      <c r="T32" s="4"/>
      <c r="U32" s="4"/>
      <c r="V32" s="4"/>
      <c r="W32" s="4">
        <v>0</v>
      </c>
      <c r="X32" s="4">
        <v>1</v>
      </c>
      <c r="Y32" s="4">
        <v>0</v>
      </c>
      <c r="Z32" s="4"/>
      <c r="AA32" s="4"/>
      <c r="AB32" s="4"/>
    </row>
    <row r="33" spans="1:28" x14ac:dyDescent="0.2">
      <c r="A33" s="4">
        <v>50</v>
      </c>
      <c r="B33" s="4">
        <v>0</v>
      </c>
      <c r="C33" s="4">
        <v>0</v>
      </c>
      <c r="D33" s="4">
        <v>1</v>
      </c>
      <c r="E33" s="4">
        <v>216</v>
      </c>
      <c r="F33" s="4">
        <f>ROUND(Source!AP24,O33)</f>
        <v>0</v>
      </c>
      <c r="G33" s="4" t="s">
        <v>31</v>
      </c>
      <c r="H33" s="4" t="s">
        <v>32</v>
      </c>
      <c r="I33" s="4"/>
      <c r="J33" s="4"/>
      <c r="K33" s="4">
        <v>216</v>
      </c>
      <c r="L33" s="4">
        <v>8</v>
      </c>
      <c r="M33" s="4">
        <v>3</v>
      </c>
      <c r="N33" s="4" t="s">
        <v>3</v>
      </c>
      <c r="O33" s="4">
        <v>0</v>
      </c>
      <c r="P33" s="4"/>
      <c r="Q33" s="4"/>
      <c r="R33" s="4"/>
      <c r="S33" s="4"/>
      <c r="T33" s="4"/>
      <c r="U33" s="4"/>
      <c r="V33" s="4"/>
      <c r="W33" s="4">
        <v>0</v>
      </c>
      <c r="X33" s="4">
        <v>1</v>
      </c>
      <c r="Y33" s="4">
        <v>0</v>
      </c>
      <c r="Z33" s="4"/>
      <c r="AA33" s="4"/>
      <c r="AB33" s="4"/>
    </row>
    <row r="34" spans="1:28" x14ac:dyDescent="0.2">
      <c r="A34" s="4">
        <v>50</v>
      </c>
      <c r="B34" s="4">
        <v>0</v>
      </c>
      <c r="C34" s="4">
        <v>0</v>
      </c>
      <c r="D34" s="4">
        <v>1</v>
      </c>
      <c r="E34" s="4">
        <v>223</v>
      </c>
      <c r="F34" s="4">
        <f>ROUND(Source!AQ24,O34)</f>
        <v>0</v>
      </c>
      <c r="G34" s="4" t="s">
        <v>33</v>
      </c>
      <c r="H34" s="4" t="s">
        <v>34</v>
      </c>
      <c r="I34" s="4"/>
      <c r="J34" s="4"/>
      <c r="K34" s="4">
        <v>223</v>
      </c>
      <c r="L34" s="4">
        <v>9</v>
      </c>
      <c r="M34" s="4">
        <v>3</v>
      </c>
      <c r="N34" s="4" t="s">
        <v>3</v>
      </c>
      <c r="O34" s="4">
        <v>0</v>
      </c>
      <c r="P34" s="4"/>
      <c r="Q34" s="4"/>
      <c r="R34" s="4"/>
      <c r="S34" s="4"/>
      <c r="T34" s="4"/>
      <c r="U34" s="4"/>
      <c r="V34" s="4"/>
      <c r="W34" s="4">
        <v>0</v>
      </c>
      <c r="X34" s="4">
        <v>1</v>
      </c>
      <c r="Y34" s="4">
        <v>0</v>
      </c>
      <c r="Z34" s="4"/>
      <c r="AA34" s="4"/>
      <c r="AB34" s="4"/>
    </row>
    <row r="35" spans="1:28" x14ac:dyDescent="0.2">
      <c r="A35" s="4">
        <v>50</v>
      </c>
      <c r="B35" s="4">
        <v>0</v>
      </c>
      <c r="C35" s="4">
        <v>0</v>
      </c>
      <c r="D35" s="4">
        <v>1</v>
      </c>
      <c r="E35" s="4">
        <v>229</v>
      </c>
      <c r="F35" s="4">
        <f>ROUND(Source!AZ24,O35)</f>
        <v>0</v>
      </c>
      <c r="G35" s="4" t="s">
        <v>35</v>
      </c>
      <c r="H35" s="4" t="s">
        <v>36</v>
      </c>
      <c r="I35" s="4"/>
      <c r="J35" s="4"/>
      <c r="K35" s="4">
        <v>229</v>
      </c>
      <c r="L35" s="4">
        <v>10</v>
      </c>
      <c r="M35" s="4">
        <v>3</v>
      </c>
      <c r="N35" s="4" t="s">
        <v>3</v>
      </c>
      <c r="O35" s="4">
        <v>0</v>
      </c>
      <c r="P35" s="4"/>
      <c r="Q35" s="4"/>
      <c r="R35" s="4"/>
      <c r="S35" s="4"/>
      <c r="T35" s="4"/>
      <c r="U35" s="4"/>
      <c r="V35" s="4"/>
      <c r="W35" s="4">
        <v>0</v>
      </c>
      <c r="X35" s="4">
        <v>1</v>
      </c>
      <c r="Y35" s="4">
        <v>0</v>
      </c>
      <c r="Z35" s="4"/>
      <c r="AA35" s="4"/>
      <c r="AB35" s="4"/>
    </row>
    <row r="36" spans="1:28" x14ac:dyDescent="0.2">
      <c r="A36" s="4">
        <v>50</v>
      </c>
      <c r="B36" s="4">
        <v>0</v>
      </c>
      <c r="C36" s="4">
        <v>0</v>
      </c>
      <c r="D36" s="4">
        <v>1</v>
      </c>
      <c r="E36" s="4">
        <v>203</v>
      </c>
      <c r="F36" s="4">
        <f>ROUND(Source!Q24,O36)</f>
        <v>0</v>
      </c>
      <c r="G36" s="4" t="s">
        <v>37</v>
      </c>
      <c r="H36" s="4" t="s">
        <v>38</v>
      </c>
      <c r="I36" s="4"/>
      <c r="J36" s="4"/>
      <c r="K36" s="4">
        <v>203</v>
      </c>
      <c r="L36" s="4">
        <v>11</v>
      </c>
      <c r="M36" s="4">
        <v>3</v>
      </c>
      <c r="N36" s="4" t="s">
        <v>3</v>
      </c>
      <c r="O36" s="4">
        <v>0</v>
      </c>
      <c r="P36" s="4"/>
      <c r="Q36" s="4"/>
      <c r="R36" s="4"/>
      <c r="S36" s="4"/>
      <c r="T36" s="4"/>
      <c r="U36" s="4"/>
      <c r="V36" s="4"/>
      <c r="W36" s="4">
        <v>0</v>
      </c>
      <c r="X36" s="4">
        <v>1</v>
      </c>
      <c r="Y36" s="4">
        <v>0</v>
      </c>
      <c r="Z36" s="4"/>
      <c r="AA36" s="4"/>
      <c r="AB36" s="4"/>
    </row>
    <row r="37" spans="1:28" x14ac:dyDescent="0.2">
      <c r="A37" s="4">
        <v>50</v>
      </c>
      <c r="B37" s="4">
        <v>0</v>
      </c>
      <c r="C37" s="4">
        <v>0</v>
      </c>
      <c r="D37" s="4">
        <v>1</v>
      </c>
      <c r="E37" s="4">
        <v>231</v>
      </c>
      <c r="F37" s="4">
        <f>ROUND(Source!BB24,O37)</f>
        <v>0</v>
      </c>
      <c r="G37" s="4" t="s">
        <v>39</v>
      </c>
      <c r="H37" s="4" t="s">
        <v>40</v>
      </c>
      <c r="I37" s="4"/>
      <c r="J37" s="4"/>
      <c r="K37" s="4">
        <v>231</v>
      </c>
      <c r="L37" s="4">
        <v>12</v>
      </c>
      <c r="M37" s="4">
        <v>3</v>
      </c>
      <c r="N37" s="4" t="s">
        <v>3</v>
      </c>
      <c r="O37" s="4">
        <v>0</v>
      </c>
      <c r="P37" s="4"/>
      <c r="Q37" s="4"/>
      <c r="R37" s="4"/>
      <c r="S37" s="4"/>
      <c r="T37" s="4"/>
      <c r="U37" s="4"/>
      <c r="V37" s="4"/>
      <c r="W37" s="4">
        <v>0</v>
      </c>
      <c r="X37" s="4">
        <v>1</v>
      </c>
      <c r="Y37" s="4">
        <v>0</v>
      </c>
      <c r="Z37" s="4"/>
      <c r="AA37" s="4"/>
      <c r="AB37" s="4"/>
    </row>
    <row r="38" spans="1:28" x14ac:dyDescent="0.2">
      <c r="A38" s="4">
        <v>50</v>
      </c>
      <c r="B38" s="4">
        <v>0</v>
      </c>
      <c r="C38" s="4">
        <v>0</v>
      </c>
      <c r="D38" s="4">
        <v>1</v>
      </c>
      <c r="E38" s="4">
        <v>204</v>
      </c>
      <c r="F38" s="4">
        <f>ROUND(Source!R24,O38)</f>
        <v>0</v>
      </c>
      <c r="G38" s="4" t="s">
        <v>41</v>
      </c>
      <c r="H38" s="4" t="s">
        <v>42</v>
      </c>
      <c r="I38" s="4"/>
      <c r="J38" s="4"/>
      <c r="K38" s="4">
        <v>204</v>
      </c>
      <c r="L38" s="4">
        <v>13</v>
      </c>
      <c r="M38" s="4">
        <v>3</v>
      </c>
      <c r="N38" s="4" t="s">
        <v>3</v>
      </c>
      <c r="O38" s="4">
        <v>0</v>
      </c>
      <c r="P38" s="4"/>
      <c r="Q38" s="4"/>
      <c r="R38" s="4"/>
      <c r="S38" s="4"/>
      <c r="T38" s="4"/>
      <c r="U38" s="4"/>
      <c r="V38" s="4"/>
      <c r="W38" s="4">
        <v>0</v>
      </c>
      <c r="X38" s="4">
        <v>1</v>
      </c>
      <c r="Y38" s="4">
        <v>0</v>
      </c>
      <c r="Z38" s="4"/>
      <c r="AA38" s="4"/>
      <c r="AB38" s="4"/>
    </row>
    <row r="39" spans="1:28" x14ac:dyDescent="0.2">
      <c r="A39" s="4">
        <v>50</v>
      </c>
      <c r="B39" s="4">
        <v>0</v>
      </c>
      <c r="C39" s="4">
        <v>0</v>
      </c>
      <c r="D39" s="4">
        <v>1</v>
      </c>
      <c r="E39" s="4">
        <v>205</v>
      </c>
      <c r="F39" s="4">
        <f>ROUND(Source!S24,O39)</f>
        <v>0</v>
      </c>
      <c r="G39" s="4" t="s">
        <v>43</v>
      </c>
      <c r="H39" s="4" t="s">
        <v>44</v>
      </c>
      <c r="I39" s="4"/>
      <c r="J39" s="4"/>
      <c r="K39" s="4">
        <v>205</v>
      </c>
      <c r="L39" s="4">
        <v>14</v>
      </c>
      <c r="M39" s="4">
        <v>3</v>
      </c>
      <c r="N39" s="4" t="s">
        <v>3</v>
      </c>
      <c r="O39" s="4">
        <v>0</v>
      </c>
      <c r="P39" s="4"/>
      <c r="Q39" s="4"/>
      <c r="R39" s="4"/>
      <c r="S39" s="4"/>
      <c r="T39" s="4"/>
      <c r="U39" s="4"/>
      <c r="V39" s="4"/>
      <c r="W39" s="4">
        <v>0</v>
      </c>
      <c r="X39" s="4">
        <v>1</v>
      </c>
      <c r="Y39" s="4">
        <v>0</v>
      </c>
      <c r="Z39" s="4"/>
      <c r="AA39" s="4"/>
      <c r="AB39" s="4"/>
    </row>
    <row r="40" spans="1:28" x14ac:dyDescent="0.2">
      <c r="A40" s="4">
        <v>50</v>
      </c>
      <c r="B40" s="4">
        <v>0</v>
      </c>
      <c r="C40" s="4">
        <v>0</v>
      </c>
      <c r="D40" s="4">
        <v>1</v>
      </c>
      <c r="E40" s="4">
        <v>232</v>
      </c>
      <c r="F40" s="4">
        <f>ROUND(Source!BC24,O40)</f>
        <v>0</v>
      </c>
      <c r="G40" s="4" t="s">
        <v>45</v>
      </c>
      <c r="H40" s="4" t="s">
        <v>46</v>
      </c>
      <c r="I40" s="4"/>
      <c r="J40" s="4"/>
      <c r="K40" s="4">
        <v>232</v>
      </c>
      <c r="L40" s="4">
        <v>15</v>
      </c>
      <c r="M40" s="4">
        <v>3</v>
      </c>
      <c r="N40" s="4" t="s">
        <v>3</v>
      </c>
      <c r="O40" s="4">
        <v>0</v>
      </c>
      <c r="P40" s="4"/>
      <c r="Q40" s="4"/>
      <c r="R40" s="4"/>
      <c r="S40" s="4"/>
      <c r="T40" s="4"/>
      <c r="U40" s="4"/>
      <c r="V40" s="4"/>
      <c r="W40" s="4">
        <v>0</v>
      </c>
      <c r="X40" s="4">
        <v>1</v>
      </c>
      <c r="Y40" s="4">
        <v>0</v>
      </c>
      <c r="Z40" s="4"/>
      <c r="AA40" s="4"/>
      <c r="AB40" s="4"/>
    </row>
    <row r="41" spans="1:28" x14ac:dyDescent="0.2">
      <c r="A41" s="4">
        <v>50</v>
      </c>
      <c r="B41" s="4">
        <v>0</v>
      </c>
      <c r="C41" s="4">
        <v>0</v>
      </c>
      <c r="D41" s="4">
        <v>1</v>
      </c>
      <c r="E41" s="4">
        <v>214</v>
      </c>
      <c r="F41" s="4">
        <f>ROUND(Source!AS24,O41)</f>
        <v>0</v>
      </c>
      <c r="G41" s="4" t="s">
        <v>47</v>
      </c>
      <c r="H41" s="4" t="s">
        <v>48</v>
      </c>
      <c r="I41" s="4"/>
      <c r="J41" s="4"/>
      <c r="K41" s="4">
        <v>214</v>
      </c>
      <c r="L41" s="4">
        <v>16</v>
      </c>
      <c r="M41" s="4">
        <v>3</v>
      </c>
      <c r="N41" s="4" t="s">
        <v>3</v>
      </c>
      <c r="O41" s="4">
        <v>0</v>
      </c>
      <c r="P41" s="4"/>
      <c r="Q41" s="4"/>
      <c r="R41" s="4"/>
      <c r="S41" s="4"/>
      <c r="T41" s="4"/>
      <c r="U41" s="4"/>
      <c r="V41" s="4"/>
      <c r="W41" s="4">
        <v>0</v>
      </c>
      <c r="X41" s="4">
        <v>1</v>
      </c>
      <c r="Y41" s="4">
        <v>0</v>
      </c>
      <c r="Z41" s="4"/>
      <c r="AA41" s="4"/>
      <c r="AB41" s="4"/>
    </row>
    <row r="42" spans="1:28" x14ac:dyDescent="0.2">
      <c r="A42" s="4">
        <v>50</v>
      </c>
      <c r="B42" s="4">
        <v>0</v>
      </c>
      <c r="C42" s="4">
        <v>0</v>
      </c>
      <c r="D42" s="4">
        <v>1</v>
      </c>
      <c r="E42" s="4">
        <v>215</v>
      </c>
      <c r="F42" s="4">
        <f>ROUND(Source!AT24,O42)</f>
        <v>0</v>
      </c>
      <c r="G42" s="4" t="s">
        <v>49</v>
      </c>
      <c r="H42" s="4" t="s">
        <v>50</v>
      </c>
      <c r="I42" s="4"/>
      <c r="J42" s="4"/>
      <c r="K42" s="4">
        <v>215</v>
      </c>
      <c r="L42" s="4">
        <v>17</v>
      </c>
      <c r="M42" s="4">
        <v>3</v>
      </c>
      <c r="N42" s="4" t="s">
        <v>3</v>
      </c>
      <c r="O42" s="4">
        <v>0</v>
      </c>
      <c r="P42" s="4"/>
      <c r="Q42" s="4"/>
      <c r="R42" s="4"/>
      <c r="S42" s="4"/>
      <c r="T42" s="4"/>
      <c r="U42" s="4"/>
      <c r="V42" s="4"/>
      <c r="W42" s="4">
        <v>0</v>
      </c>
      <c r="X42" s="4">
        <v>1</v>
      </c>
      <c r="Y42" s="4">
        <v>0</v>
      </c>
      <c r="Z42" s="4"/>
      <c r="AA42" s="4"/>
      <c r="AB42" s="4"/>
    </row>
    <row r="43" spans="1:28" x14ac:dyDescent="0.2">
      <c r="A43" s="4">
        <v>50</v>
      </c>
      <c r="B43" s="4">
        <v>0</v>
      </c>
      <c r="C43" s="4">
        <v>0</v>
      </c>
      <c r="D43" s="4">
        <v>1</v>
      </c>
      <c r="E43" s="4">
        <v>217</v>
      </c>
      <c r="F43" s="4">
        <f>ROUND(Source!AU24,O43)</f>
        <v>0</v>
      </c>
      <c r="G43" s="4" t="s">
        <v>51</v>
      </c>
      <c r="H43" s="4" t="s">
        <v>52</v>
      </c>
      <c r="I43" s="4"/>
      <c r="J43" s="4"/>
      <c r="K43" s="4">
        <v>217</v>
      </c>
      <c r="L43" s="4">
        <v>18</v>
      </c>
      <c r="M43" s="4">
        <v>3</v>
      </c>
      <c r="N43" s="4" t="s">
        <v>3</v>
      </c>
      <c r="O43" s="4">
        <v>0</v>
      </c>
      <c r="P43" s="4"/>
      <c r="Q43" s="4"/>
      <c r="R43" s="4"/>
      <c r="S43" s="4"/>
      <c r="T43" s="4"/>
      <c r="U43" s="4"/>
      <c r="V43" s="4"/>
      <c r="W43" s="4">
        <v>0</v>
      </c>
      <c r="X43" s="4">
        <v>1</v>
      </c>
      <c r="Y43" s="4">
        <v>0</v>
      </c>
      <c r="Z43" s="4"/>
      <c r="AA43" s="4"/>
      <c r="AB43" s="4"/>
    </row>
    <row r="44" spans="1:28" x14ac:dyDescent="0.2">
      <c r="A44" s="4">
        <v>50</v>
      </c>
      <c r="B44" s="4">
        <v>0</v>
      </c>
      <c r="C44" s="4">
        <v>0</v>
      </c>
      <c r="D44" s="4">
        <v>1</v>
      </c>
      <c r="E44" s="4">
        <v>230</v>
      </c>
      <c r="F44" s="4">
        <f>ROUND(Source!BA24,O44)</f>
        <v>0</v>
      </c>
      <c r="G44" s="4" t="s">
        <v>53</v>
      </c>
      <c r="H44" s="4" t="s">
        <v>54</v>
      </c>
      <c r="I44" s="4"/>
      <c r="J44" s="4"/>
      <c r="K44" s="4">
        <v>230</v>
      </c>
      <c r="L44" s="4">
        <v>19</v>
      </c>
      <c r="M44" s="4">
        <v>3</v>
      </c>
      <c r="N44" s="4" t="s">
        <v>3</v>
      </c>
      <c r="O44" s="4">
        <v>0</v>
      </c>
      <c r="P44" s="4"/>
      <c r="Q44" s="4"/>
      <c r="R44" s="4"/>
      <c r="S44" s="4"/>
      <c r="T44" s="4"/>
      <c r="U44" s="4"/>
      <c r="V44" s="4"/>
      <c r="W44" s="4">
        <v>0</v>
      </c>
      <c r="X44" s="4">
        <v>1</v>
      </c>
      <c r="Y44" s="4">
        <v>0</v>
      </c>
      <c r="Z44" s="4"/>
      <c r="AA44" s="4"/>
      <c r="AB44" s="4"/>
    </row>
    <row r="45" spans="1:28" x14ac:dyDescent="0.2">
      <c r="A45" s="4">
        <v>50</v>
      </c>
      <c r="B45" s="4">
        <v>0</v>
      </c>
      <c r="C45" s="4">
        <v>0</v>
      </c>
      <c r="D45" s="4">
        <v>1</v>
      </c>
      <c r="E45" s="4">
        <v>206</v>
      </c>
      <c r="F45" s="4">
        <f>ROUND(Source!T24,O45)</f>
        <v>0</v>
      </c>
      <c r="G45" s="4" t="s">
        <v>55</v>
      </c>
      <c r="H45" s="4" t="s">
        <v>56</v>
      </c>
      <c r="I45" s="4"/>
      <c r="J45" s="4"/>
      <c r="K45" s="4">
        <v>206</v>
      </c>
      <c r="L45" s="4">
        <v>20</v>
      </c>
      <c r="M45" s="4">
        <v>3</v>
      </c>
      <c r="N45" s="4" t="s">
        <v>3</v>
      </c>
      <c r="O45" s="4">
        <v>0</v>
      </c>
      <c r="P45" s="4"/>
      <c r="Q45" s="4"/>
      <c r="R45" s="4"/>
      <c r="S45" s="4"/>
      <c r="T45" s="4"/>
      <c r="U45" s="4"/>
      <c r="V45" s="4"/>
      <c r="W45" s="4">
        <v>0</v>
      </c>
      <c r="X45" s="4">
        <v>1</v>
      </c>
      <c r="Y45" s="4">
        <v>0</v>
      </c>
      <c r="Z45" s="4"/>
      <c r="AA45" s="4"/>
      <c r="AB45" s="4"/>
    </row>
    <row r="46" spans="1:28" x14ac:dyDescent="0.2">
      <c r="A46" s="4">
        <v>50</v>
      </c>
      <c r="B46" s="4">
        <v>0</v>
      </c>
      <c r="C46" s="4">
        <v>0</v>
      </c>
      <c r="D46" s="4">
        <v>1</v>
      </c>
      <c r="E46" s="4">
        <v>207</v>
      </c>
      <c r="F46" s="4">
        <f>ROUND(Source!U24,O46)</f>
        <v>0</v>
      </c>
      <c r="G46" s="4" t="s">
        <v>57</v>
      </c>
      <c r="H46" s="4" t="s">
        <v>58</v>
      </c>
      <c r="I46" s="4"/>
      <c r="J46" s="4"/>
      <c r="K46" s="4">
        <v>207</v>
      </c>
      <c r="L46" s="4">
        <v>21</v>
      </c>
      <c r="M46" s="4">
        <v>3</v>
      </c>
      <c r="N46" s="4" t="s">
        <v>3</v>
      </c>
      <c r="O46" s="4">
        <v>7</v>
      </c>
      <c r="P46" s="4"/>
      <c r="Q46" s="4"/>
      <c r="R46" s="4"/>
      <c r="S46" s="4"/>
      <c r="T46" s="4"/>
      <c r="U46" s="4"/>
      <c r="V46" s="4"/>
      <c r="W46" s="4">
        <v>0</v>
      </c>
      <c r="X46" s="4">
        <v>1</v>
      </c>
      <c r="Y46" s="4">
        <v>0</v>
      </c>
      <c r="Z46" s="4"/>
      <c r="AA46" s="4"/>
      <c r="AB46" s="4"/>
    </row>
    <row r="47" spans="1:28" x14ac:dyDescent="0.2">
      <c r="A47" s="4">
        <v>50</v>
      </c>
      <c r="B47" s="4">
        <v>0</v>
      </c>
      <c r="C47" s="4">
        <v>0</v>
      </c>
      <c r="D47" s="4">
        <v>1</v>
      </c>
      <c r="E47" s="4">
        <v>208</v>
      </c>
      <c r="F47" s="4">
        <f>ROUND(Source!V24,O47)</f>
        <v>0</v>
      </c>
      <c r="G47" s="4" t="s">
        <v>59</v>
      </c>
      <c r="H47" s="4" t="s">
        <v>60</v>
      </c>
      <c r="I47" s="4"/>
      <c r="J47" s="4"/>
      <c r="K47" s="4">
        <v>208</v>
      </c>
      <c r="L47" s="4">
        <v>22</v>
      </c>
      <c r="M47" s="4">
        <v>3</v>
      </c>
      <c r="N47" s="4" t="s">
        <v>3</v>
      </c>
      <c r="O47" s="4">
        <v>7</v>
      </c>
      <c r="P47" s="4"/>
      <c r="Q47" s="4"/>
      <c r="R47" s="4"/>
      <c r="S47" s="4"/>
      <c r="T47" s="4"/>
      <c r="U47" s="4"/>
      <c r="V47" s="4"/>
      <c r="W47" s="4">
        <v>0</v>
      </c>
      <c r="X47" s="4">
        <v>1</v>
      </c>
      <c r="Y47" s="4">
        <v>0</v>
      </c>
      <c r="Z47" s="4"/>
      <c r="AA47" s="4"/>
      <c r="AB47" s="4"/>
    </row>
    <row r="48" spans="1:28" x14ac:dyDescent="0.2">
      <c r="A48" s="4">
        <v>50</v>
      </c>
      <c r="B48" s="4">
        <v>0</v>
      </c>
      <c r="C48" s="4">
        <v>0</v>
      </c>
      <c r="D48" s="4">
        <v>1</v>
      </c>
      <c r="E48" s="4">
        <v>209</v>
      </c>
      <c r="F48" s="4">
        <f>ROUND(Source!W24,O48)</f>
        <v>0</v>
      </c>
      <c r="G48" s="4" t="s">
        <v>61</v>
      </c>
      <c r="H48" s="4" t="s">
        <v>62</v>
      </c>
      <c r="I48" s="4"/>
      <c r="J48" s="4"/>
      <c r="K48" s="4">
        <v>209</v>
      </c>
      <c r="L48" s="4">
        <v>23</v>
      </c>
      <c r="M48" s="4">
        <v>3</v>
      </c>
      <c r="N48" s="4" t="s">
        <v>3</v>
      </c>
      <c r="O48" s="4">
        <v>0</v>
      </c>
      <c r="P48" s="4"/>
      <c r="Q48" s="4"/>
      <c r="R48" s="4"/>
      <c r="S48" s="4"/>
      <c r="T48" s="4"/>
      <c r="U48" s="4"/>
      <c r="V48" s="4"/>
      <c r="W48" s="4">
        <v>0</v>
      </c>
      <c r="X48" s="4">
        <v>1</v>
      </c>
      <c r="Y48" s="4">
        <v>0</v>
      </c>
      <c r="Z48" s="4"/>
      <c r="AA48" s="4"/>
      <c r="AB48" s="4"/>
    </row>
    <row r="49" spans="1:245" x14ac:dyDescent="0.2">
      <c r="A49" s="4">
        <v>50</v>
      </c>
      <c r="B49" s="4">
        <v>0</v>
      </c>
      <c r="C49" s="4">
        <v>0</v>
      </c>
      <c r="D49" s="4">
        <v>1</v>
      </c>
      <c r="E49" s="4">
        <v>233</v>
      </c>
      <c r="F49" s="4">
        <f>ROUND(Source!BD24,O49)</f>
        <v>0</v>
      </c>
      <c r="G49" s="4" t="s">
        <v>63</v>
      </c>
      <c r="H49" s="4" t="s">
        <v>64</v>
      </c>
      <c r="I49" s="4"/>
      <c r="J49" s="4"/>
      <c r="K49" s="4">
        <v>233</v>
      </c>
      <c r="L49" s="4">
        <v>24</v>
      </c>
      <c r="M49" s="4">
        <v>3</v>
      </c>
      <c r="N49" s="4" t="s">
        <v>3</v>
      </c>
      <c r="O49" s="4">
        <v>0</v>
      </c>
      <c r="P49" s="4"/>
      <c r="Q49" s="4"/>
      <c r="R49" s="4"/>
      <c r="S49" s="4"/>
      <c r="T49" s="4"/>
      <c r="U49" s="4"/>
      <c r="V49" s="4"/>
      <c r="W49" s="4">
        <v>0</v>
      </c>
      <c r="X49" s="4">
        <v>1</v>
      </c>
      <c r="Y49" s="4">
        <v>0</v>
      </c>
      <c r="Z49" s="4"/>
      <c r="AA49" s="4"/>
      <c r="AB49" s="4"/>
    </row>
    <row r="50" spans="1:245" x14ac:dyDescent="0.2">
      <c r="A50" s="4">
        <v>50</v>
      </c>
      <c r="B50" s="4">
        <v>0</v>
      </c>
      <c r="C50" s="4">
        <v>0</v>
      </c>
      <c r="D50" s="4">
        <v>1</v>
      </c>
      <c r="E50" s="4">
        <v>210</v>
      </c>
      <c r="F50" s="4">
        <f>ROUND(Source!X24,O50)</f>
        <v>0</v>
      </c>
      <c r="G50" s="4" t="s">
        <v>65</v>
      </c>
      <c r="H50" s="4" t="s">
        <v>66</v>
      </c>
      <c r="I50" s="4"/>
      <c r="J50" s="4"/>
      <c r="K50" s="4">
        <v>210</v>
      </c>
      <c r="L50" s="4">
        <v>25</v>
      </c>
      <c r="M50" s="4">
        <v>3</v>
      </c>
      <c r="N50" s="4" t="s">
        <v>3</v>
      </c>
      <c r="O50" s="4">
        <v>0</v>
      </c>
      <c r="P50" s="4"/>
      <c r="Q50" s="4"/>
      <c r="R50" s="4"/>
      <c r="S50" s="4"/>
      <c r="T50" s="4"/>
      <c r="U50" s="4"/>
      <c r="V50" s="4"/>
      <c r="W50" s="4">
        <v>0</v>
      </c>
      <c r="X50" s="4">
        <v>1</v>
      </c>
      <c r="Y50" s="4">
        <v>0</v>
      </c>
      <c r="Z50" s="4"/>
      <c r="AA50" s="4"/>
      <c r="AB50" s="4"/>
    </row>
    <row r="51" spans="1:245" x14ac:dyDescent="0.2">
      <c r="A51" s="4">
        <v>50</v>
      </c>
      <c r="B51" s="4">
        <v>0</v>
      </c>
      <c r="C51" s="4">
        <v>0</v>
      </c>
      <c r="D51" s="4">
        <v>1</v>
      </c>
      <c r="E51" s="4">
        <v>211</v>
      </c>
      <c r="F51" s="4">
        <f>ROUND(Source!Y24,O51)</f>
        <v>0</v>
      </c>
      <c r="G51" s="4" t="s">
        <v>67</v>
      </c>
      <c r="H51" s="4" t="s">
        <v>68</v>
      </c>
      <c r="I51" s="4"/>
      <c r="J51" s="4"/>
      <c r="K51" s="4">
        <v>211</v>
      </c>
      <c r="L51" s="4">
        <v>26</v>
      </c>
      <c r="M51" s="4">
        <v>3</v>
      </c>
      <c r="N51" s="4" t="s">
        <v>3</v>
      </c>
      <c r="O51" s="4">
        <v>0</v>
      </c>
      <c r="P51" s="4"/>
      <c r="Q51" s="4"/>
      <c r="R51" s="4"/>
      <c r="S51" s="4"/>
      <c r="T51" s="4"/>
      <c r="U51" s="4"/>
      <c r="V51" s="4"/>
      <c r="W51" s="4">
        <v>0</v>
      </c>
      <c r="X51" s="4">
        <v>1</v>
      </c>
      <c r="Y51" s="4">
        <v>0</v>
      </c>
      <c r="Z51" s="4"/>
      <c r="AA51" s="4"/>
      <c r="AB51" s="4"/>
    </row>
    <row r="52" spans="1:245" x14ac:dyDescent="0.2">
      <c r="A52" s="4">
        <v>50</v>
      </c>
      <c r="B52" s="4">
        <v>0</v>
      </c>
      <c r="C52" s="4">
        <v>0</v>
      </c>
      <c r="D52" s="4">
        <v>1</v>
      </c>
      <c r="E52" s="4">
        <v>224</v>
      </c>
      <c r="F52" s="4">
        <f>ROUND(Source!AR24,O52)</f>
        <v>0</v>
      </c>
      <c r="G52" s="4" t="s">
        <v>69</v>
      </c>
      <c r="H52" s="4" t="s">
        <v>70</v>
      </c>
      <c r="I52" s="4"/>
      <c r="J52" s="4"/>
      <c r="K52" s="4">
        <v>224</v>
      </c>
      <c r="L52" s="4">
        <v>27</v>
      </c>
      <c r="M52" s="4">
        <v>3</v>
      </c>
      <c r="N52" s="4" t="s">
        <v>3</v>
      </c>
      <c r="O52" s="4">
        <v>0</v>
      </c>
      <c r="P52" s="4"/>
      <c r="Q52" s="4"/>
      <c r="R52" s="4"/>
      <c r="S52" s="4"/>
      <c r="T52" s="4"/>
      <c r="U52" s="4"/>
      <c r="V52" s="4"/>
      <c r="W52" s="4">
        <v>0</v>
      </c>
      <c r="X52" s="4">
        <v>1</v>
      </c>
      <c r="Y52" s="4">
        <v>0</v>
      </c>
      <c r="Z52" s="4"/>
      <c r="AA52" s="4"/>
      <c r="AB52" s="4"/>
    </row>
    <row r="54" spans="1:245" x14ac:dyDescent="0.2">
      <c r="A54" s="1">
        <v>3</v>
      </c>
      <c r="B54" s="1">
        <v>1</v>
      </c>
      <c r="C54" s="1"/>
      <c r="D54" s="1">
        <f>ROW(A256)</f>
        <v>256</v>
      </c>
      <c r="E54" s="1"/>
      <c r="F54" s="1" t="s">
        <v>16</v>
      </c>
      <c r="G54" s="1" t="s">
        <v>71</v>
      </c>
      <c r="H54" s="1" t="s">
        <v>3</v>
      </c>
      <c r="I54" s="1">
        <v>0</v>
      </c>
      <c r="J54" s="1" t="s">
        <v>3</v>
      </c>
      <c r="K54" s="1">
        <v>-1</v>
      </c>
      <c r="L54" s="1" t="s">
        <v>16</v>
      </c>
      <c r="M54" s="1" t="s">
        <v>3</v>
      </c>
      <c r="N54" s="1"/>
      <c r="O54" s="1"/>
      <c r="P54" s="1"/>
      <c r="Q54" s="1"/>
      <c r="R54" s="1"/>
      <c r="S54" s="1">
        <v>0</v>
      </c>
      <c r="T54" s="1"/>
      <c r="U54" s="1" t="s">
        <v>3</v>
      </c>
      <c r="V54" s="1">
        <v>0</v>
      </c>
      <c r="W54" s="1"/>
      <c r="X54" s="1"/>
      <c r="Y54" s="1"/>
      <c r="Z54" s="1"/>
      <c r="AA54" s="1"/>
      <c r="AB54" s="1" t="s">
        <v>3</v>
      </c>
      <c r="AC54" s="1" t="s">
        <v>3</v>
      </c>
      <c r="AD54" s="1" t="s">
        <v>3</v>
      </c>
      <c r="AE54" s="1" t="s">
        <v>3</v>
      </c>
      <c r="AF54" s="1" t="s">
        <v>3</v>
      </c>
      <c r="AG54" s="1" t="s">
        <v>3</v>
      </c>
      <c r="AH54" s="1"/>
      <c r="AI54" s="1"/>
      <c r="AJ54" s="1"/>
      <c r="AK54" s="1"/>
      <c r="AL54" s="1"/>
      <c r="AM54" s="1"/>
      <c r="AN54" s="1"/>
      <c r="AO54" s="1"/>
      <c r="AP54" s="1" t="s">
        <v>3</v>
      </c>
      <c r="AQ54" s="1" t="s">
        <v>3</v>
      </c>
      <c r="AR54" s="1" t="s">
        <v>3</v>
      </c>
      <c r="AS54" s="1"/>
      <c r="AT54" s="1"/>
      <c r="AU54" s="1"/>
      <c r="AV54" s="1"/>
      <c r="AW54" s="1"/>
      <c r="AX54" s="1"/>
      <c r="AY54" s="1"/>
      <c r="AZ54" s="1" t="s">
        <v>3</v>
      </c>
      <c r="BA54" s="1"/>
      <c r="BB54" s="1" t="s">
        <v>3</v>
      </c>
      <c r="BC54" s="1" t="s">
        <v>3</v>
      </c>
      <c r="BD54" s="1" t="s">
        <v>3</v>
      </c>
      <c r="BE54" s="1" t="s">
        <v>3</v>
      </c>
      <c r="BF54" s="1" t="s">
        <v>3</v>
      </c>
      <c r="BG54" s="1" t="s">
        <v>3</v>
      </c>
      <c r="BH54" s="1" t="s">
        <v>3</v>
      </c>
      <c r="BI54" s="1" t="s">
        <v>3</v>
      </c>
      <c r="BJ54" s="1" t="s">
        <v>3</v>
      </c>
      <c r="BK54" s="1" t="s">
        <v>3</v>
      </c>
      <c r="BL54" s="1" t="s">
        <v>3</v>
      </c>
      <c r="BM54" s="1" t="s">
        <v>3</v>
      </c>
      <c r="BN54" s="1" t="s">
        <v>3</v>
      </c>
      <c r="BO54" s="1" t="s">
        <v>3</v>
      </c>
      <c r="BP54" s="1" t="s">
        <v>3</v>
      </c>
      <c r="BQ54" s="1"/>
      <c r="BR54" s="1"/>
      <c r="BS54" s="1"/>
      <c r="BT54" s="1"/>
      <c r="BU54" s="1"/>
      <c r="BV54" s="1"/>
      <c r="BW54" s="1"/>
      <c r="BX54" s="1">
        <v>0</v>
      </c>
      <c r="BY54" s="1"/>
      <c r="BZ54" s="1"/>
      <c r="CA54" s="1"/>
      <c r="CB54" s="1"/>
      <c r="CC54" s="1"/>
      <c r="CD54" s="1"/>
      <c r="CE54" s="1"/>
      <c r="CF54" s="1">
        <v>0</v>
      </c>
      <c r="CG54" s="1">
        <v>0</v>
      </c>
      <c r="CH54" s="1"/>
      <c r="CI54" s="1" t="s">
        <v>3</v>
      </c>
      <c r="CJ54" s="1" t="s">
        <v>3</v>
      </c>
      <c r="CK54" t="s">
        <v>3</v>
      </c>
      <c r="CL54" t="s">
        <v>3</v>
      </c>
      <c r="CM54" t="s">
        <v>3</v>
      </c>
      <c r="CN54" t="s">
        <v>3</v>
      </c>
      <c r="CO54" t="s">
        <v>3</v>
      </c>
      <c r="CP54" t="s">
        <v>3</v>
      </c>
      <c r="CQ54" t="s">
        <v>3</v>
      </c>
    </row>
    <row r="56" spans="1:245" x14ac:dyDescent="0.2">
      <c r="A56" s="2">
        <v>52</v>
      </c>
      <c r="B56" s="2">
        <f t="shared" ref="B56:G56" si="16">B256</f>
        <v>1</v>
      </c>
      <c r="C56" s="2">
        <f t="shared" si="16"/>
        <v>3</v>
      </c>
      <c r="D56" s="2">
        <f t="shared" si="16"/>
        <v>54</v>
      </c>
      <c r="E56" s="2">
        <f t="shared" si="16"/>
        <v>0</v>
      </c>
      <c r="F56" s="2" t="str">
        <f t="shared" si="16"/>
        <v>Новая локальная смета</v>
      </c>
      <c r="G56" s="2" t="str">
        <f t="shared" si="16"/>
        <v>Реконструкция 2КЛ-10кВ ПС-596 до РТП-12 по адресу: г. Москва, поселение Рязановское, мкр. "Родники". Инв. № 43315095</v>
      </c>
      <c r="H56" s="2"/>
      <c r="I56" s="2"/>
      <c r="J56" s="2"/>
      <c r="K56" s="2"/>
      <c r="L56" s="2"/>
      <c r="M56" s="2"/>
      <c r="N56" s="2"/>
      <c r="O56" s="2">
        <f t="shared" ref="O56:AT56" si="17">O256</f>
        <v>7307779.3799999999</v>
      </c>
      <c r="P56" s="2">
        <f t="shared" si="17"/>
        <v>5713531.8099999996</v>
      </c>
      <c r="Q56" s="2">
        <f t="shared" si="17"/>
        <v>156985.06</v>
      </c>
      <c r="R56" s="2">
        <f t="shared" si="17"/>
        <v>90692.11</v>
      </c>
      <c r="S56" s="2">
        <f t="shared" si="17"/>
        <v>1346570.4</v>
      </c>
      <c r="T56" s="2">
        <f t="shared" si="17"/>
        <v>0</v>
      </c>
      <c r="U56" s="2">
        <f t="shared" si="17"/>
        <v>3215.768</v>
      </c>
      <c r="V56" s="2">
        <f t="shared" si="17"/>
        <v>169.30079999999998</v>
      </c>
      <c r="W56" s="2">
        <f t="shared" si="17"/>
        <v>0</v>
      </c>
      <c r="X56" s="2">
        <f t="shared" si="17"/>
        <v>1351270.59</v>
      </c>
      <c r="Y56" s="2">
        <f t="shared" si="17"/>
        <v>708763.25</v>
      </c>
      <c r="Z56" s="2">
        <f t="shared" si="17"/>
        <v>0</v>
      </c>
      <c r="AA56" s="2">
        <f t="shared" si="17"/>
        <v>0</v>
      </c>
      <c r="AB56" s="2">
        <f t="shared" si="17"/>
        <v>0</v>
      </c>
      <c r="AC56" s="2">
        <f t="shared" si="17"/>
        <v>0</v>
      </c>
      <c r="AD56" s="2">
        <f t="shared" si="17"/>
        <v>0</v>
      </c>
      <c r="AE56" s="2">
        <f t="shared" si="17"/>
        <v>0</v>
      </c>
      <c r="AF56" s="2">
        <f t="shared" si="17"/>
        <v>0</v>
      </c>
      <c r="AG56" s="2">
        <f t="shared" si="17"/>
        <v>0</v>
      </c>
      <c r="AH56" s="2">
        <f t="shared" si="17"/>
        <v>0</v>
      </c>
      <c r="AI56" s="2">
        <f t="shared" si="17"/>
        <v>0</v>
      </c>
      <c r="AJ56" s="2">
        <f t="shared" si="17"/>
        <v>0</v>
      </c>
      <c r="AK56" s="2">
        <f t="shared" si="17"/>
        <v>0</v>
      </c>
      <c r="AL56" s="2">
        <f t="shared" si="17"/>
        <v>0</v>
      </c>
      <c r="AM56" s="2">
        <f t="shared" si="17"/>
        <v>0</v>
      </c>
      <c r="AN56" s="2">
        <f t="shared" si="17"/>
        <v>0</v>
      </c>
      <c r="AO56" s="2">
        <f t="shared" si="17"/>
        <v>0</v>
      </c>
      <c r="AP56" s="2">
        <f t="shared" si="17"/>
        <v>0</v>
      </c>
      <c r="AQ56" s="2">
        <f t="shared" si="17"/>
        <v>0</v>
      </c>
      <c r="AR56" s="2">
        <f t="shared" si="17"/>
        <v>9367813.2200000007</v>
      </c>
      <c r="AS56" s="2">
        <f t="shared" si="17"/>
        <v>2703224.14</v>
      </c>
      <c r="AT56" s="2">
        <f t="shared" si="17"/>
        <v>6633851.7999999998</v>
      </c>
      <c r="AU56" s="2">
        <f t="shared" ref="AU56:BZ56" si="18">AU256</f>
        <v>30737.279999999999</v>
      </c>
      <c r="AV56" s="2">
        <f t="shared" si="18"/>
        <v>5713531.8099999996</v>
      </c>
      <c r="AW56" s="2">
        <f t="shared" si="18"/>
        <v>5713531.8099999996</v>
      </c>
      <c r="AX56" s="2">
        <f t="shared" si="18"/>
        <v>0</v>
      </c>
      <c r="AY56" s="2">
        <f t="shared" si="18"/>
        <v>5713531.8099999996</v>
      </c>
      <c r="AZ56" s="2">
        <f t="shared" si="18"/>
        <v>0</v>
      </c>
      <c r="BA56" s="2">
        <f t="shared" si="18"/>
        <v>0</v>
      </c>
      <c r="BB56" s="2">
        <f t="shared" si="18"/>
        <v>0</v>
      </c>
      <c r="BC56" s="2">
        <f t="shared" si="18"/>
        <v>0</v>
      </c>
      <c r="BD56" s="2">
        <f t="shared" si="18"/>
        <v>0</v>
      </c>
      <c r="BE56" s="2">
        <f t="shared" si="18"/>
        <v>0</v>
      </c>
      <c r="BF56" s="2">
        <f t="shared" si="18"/>
        <v>0</v>
      </c>
      <c r="BG56" s="2">
        <f t="shared" si="18"/>
        <v>0</v>
      </c>
      <c r="BH56" s="2">
        <f t="shared" si="18"/>
        <v>0</v>
      </c>
      <c r="BI56" s="2">
        <f t="shared" si="18"/>
        <v>0</v>
      </c>
      <c r="BJ56" s="2">
        <f t="shared" si="18"/>
        <v>0</v>
      </c>
      <c r="BK56" s="2">
        <f t="shared" si="18"/>
        <v>0</v>
      </c>
      <c r="BL56" s="2">
        <f t="shared" si="18"/>
        <v>0</v>
      </c>
      <c r="BM56" s="2">
        <f t="shared" si="18"/>
        <v>0</v>
      </c>
      <c r="BN56" s="2">
        <f t="shared" si="18"/>
        <v>0</v>
      </c>
      <c r="BO56" s="2">
        <f t="shared" si="18"/>
        <v>0</v>
      </c>
      <c r="BP56" s="2">
        <f t="shared" si="18"/>
        <v>0</v>
      </c>
      <c r="BQ56" s="2">
        <f t="shared" si="18"/>
        <v>0</v>
      </c>
      <c r="BR56" s="2">
        <f t="shared" si="18"/>
        <v>0</v>
      </c>
      <c r="BS56" s="2">
        <f t="shared" si="18"/>
        <v>0</v>
      </c>
      <c r="BT56" s="2">
        <f t="shared" si="18"/>
        <v>0</v>
      </c>
      <c r="BU56" s="2">
        <f t="shared" si="18"/>
        <v>0</v>
      </c>
      <c r="BV56" s="2">
        <f t="shared" si="18"/>
        <v>0</v>
      </c>
      <c r="BW56" s="2">
        <f t="shared" si="18"/>
        <v>0</v>
      </c>
      <c r="BX56" s="2">
        <f t="shared" si="18"/>
        <v>0</v>
      </c>
      <c r="BY56" s="2">
        <f t="shared" si="18"/>
        <v>0</v>
      </c>
      <c r="BZ56" s="2">
        <f t="shared" si="18"/>
        <v>0</v>
      </c>
      <c r="CA56" s="2">
        <f t="shared" ref="CA56:DF56" si="19">CA256</f>
        <v>0</v>
      </c>
      <c r="CB56" s="2">
        <f t="shared" si="19"/>
        <v>0</v>
      </c>
      <c r="CC56" s="2">
        <f t="shared" si="19"/>
        <v>0</v>
      </c>
      <c r="CD56" s="2">
        <f t="shared" si="19"/>
        <v>0</v>
      </c>
      <c r="CE56" s="2">
        <f t="shared" si="19"/>
        <v>0</v>
      </c>
      <c r="CF56" s="2">
        <f t="shared" si="19"/>
        <v>0</v>
      </c>
      <c r="CG56" s="2">
        <f t="shared" si="19"/>
        <v>0</v>
      </c>
      <c r="CH56" s="2">
        <f t="shared" si="19"/>
        <v>0</v>
      </c>
      <c r="CI56" s="2">
        <f t="shared" si="19"/>
        <v>0</v>
      </c>
      <c r="CJ56" s="2">
        <f t="shared" si="19"/>
        <v>0</v>
      </c>
      <c r="CK56" s="2">
        <f t="shared" si="19"/>
        <v>0</v>
      </c>
      <c r="CL56" s="2">
        <f t="shared" si="19"/>
        <v>0</v>
      </c>
      <c r="CM56" s="2">
        <f t="shared" si="19"/>
        <v>0</v>
      </c>
      <c r="CN56" s="2">
        <f t="shared" si="19"/>
        <v>0</v>
      </c>
      <c r="CO56" s="2">
        <f t="shared" si="19"/>
        <v>0</v>
      </c>
      <c r="CP56" s="2">
        <f t="shared" si="19"/>
        <v>0</v>
      </c>
      <c r="CQ56" s="2">
        <f t="shared" si="19"/>
        <v>0</v>
      </c>
      <c r="CR56" s="2">
        <f t="shared" si="19"/>
        <v>0</v>
      </c>
      <c r="CS56" s="2">
        <f t="shared" si="19"/>
        <v>0</v>
      </c>
      <c r="CT56" s="2">
        <f t="shared" si="19"/>
        <v>0</v>
      </c>
      <c r="CU56" s="2">
        <f t="shared" si="19"/>
        <v>0</v>
      </c>
      <c r="CV56" s="2">
        <f t="shared" si="19"/>
        <v>0</v>
      </c>
      <c r="CW56" s="2">
        <f t="shared" si="19"/>
        <v>0</v>
      </c>
      <c r="CX56" s="2">
        <f t="shared" si="19"/>
        <v>0</v>
      </c>
      <c r="CY56" s="2">
        <f t="shared" si="19"/>
        <v>0</v>
      </c>
      <c r="CZ56" s="2">
        <f t="shared" si="19"/>
        <v>0</v>
      </c>
      <c r="DA56" s="2">
        <f t="shared" si="19"/>
        <v>0</v>
      </c>
      <c r="DB56" s="2">
        <f t="shared" si="19"/>
        <v>0</v>
      </c>
      <c r="DC56" s="2">
        <f t="shared" si="19"/>
        <v>0</v>
      </c>
      <c r="DD56" s="2">
        <f t="shared" si="19"/>
        <v>0</v>
      </c>
      <c r="DE56" s="2">
        <f t="shared" si="19"/>
        <v>0</v>
      </c>
      <c r="DF56" s="2">
        <f t="shared" si="19"/>
        <v>0</v>
      </c>
      <c r="DG56" s="3">
        <f t="shared" ref="DG56:EL56" si="20">DG256</f>
        <v>0</v>
      </c>
      <c r="DH56" s="3">
        <f t="shared" si="20"/>
        <v>0</v>
      </c>
      <c r="DI56" s="3">
        <f t="shared" si="20"/>
        <v>0</v>
      </c>
      <c r="DJ56" s="3">
        <f t="shared" si="20"/>
        <v>0</v>
      </c>
      <c r="DK56" s="3">
        <f t="shared" si="20"/>
        <v>0</v>
      </c>
      <c r="DL56" s="3">
        <f t="shared" si="20"/>
        <v>0</v>
      </c>
      <c r="DM56" s="3">
        <f t="shared" si="20"/>
        <v>0</v>
      </c>
      <c r="DN56" s="3">
        <f t="shared" si="20"/>
        <v>0</v>
      </c>
      <c r="DO56" s="3">
        <f t="shared" si="20"/>
        <v>0</v>
      </c>
      <c r="DP56" s="3">
        <f t="shared" si="20"/>
        <v>0</v>
      </c>
      <c r="DQ56" s="3">
        <f t="shared" si="20"/>
        <v>0</v>
      </c>
      <c r="DR56" s="3">
        <f t="shared" si="20"/>
        <v>0</v>
      </c>
      <c r="DS56" s="3">
        <f t="shared" si="20"/>
        <v>0</v>
      </c>
      <c r="DT56" s="3">
        <f t="shared" si="20"/>
        <v>0</v>
      </c>
      <c r="DU56" s="3">
        <f t="shared" si="20"/>
        <v>0</v>
      </c>
      <c r="DV56" s="3">
        <f t="shared" si="20"/>
        <v>0</v>
      </c>
      <c r="DW56" s="3">
        <f t="shared" si="20"/>
        <v>0</v>
      </c>
      <c r="DX56" s="3">
        <f t="shared" si="20"/>
        <v>0</v>
      </c>
      <c r="DY56" s="3">
        <f t="shared" si="20"/>
        <v>0</v>
      </c>
      <c r="DZ56" s="3">
        <f t="shared" si="20"/>
        <v>0</v>
      </c>
      <c r="EA56" s="3">
        <f t="shared" si="20"/>
        <v>0</v>
      </c>
      <c r="EB56" s="3">
        <f t="shared" si="20"/>
        <v>0</v>
      </c>
      <c r="EC56" s="3">
        <f t="shared" si="20"/>
        <v>0</v>
      </c>
      <c r="ED56" s="3">
        <f t="shared" si="20"/>
        <v>0</v>
      </c>
      <c r="EE56" s="3">
        <f t="shared" si="20"/>
        <v>0</v>
      </c>
      <c r="EF56" s="3">
        <f t="shared" si="20"/>
        <v>0</v>
      </c>
      <c r="EG56" s="3">
        <f t="shared" si="20"/>
        <v>0</v>
      </c>
      <c r="EH56" s="3">
        <f t="shared" si="20"/>
        <v>0</v>
      </c>
      <c r="EI56" s="3">
        <f t="shared" si="20"/>
        <v>0</v>
      </c>
      <c r="EJ56" s="3">
        <f t="shared" si="20"/>
        <v>0</v>
      </c>
      <c r="EK56" s="3">
        <f t="shared" si="20"/>
        <v>0</v>
      </c>
      <c r="EL56" s="3">
        <f t="shared" si="20"/>
        <v>0</v>
      </c>
      <c r="EM56" s="3">
        <f t="shared" ref="EM56:FR56" si="21">EM256</f>
        <v>0</v>
      </c>
      <c r="EN56" s="3">
        <f t="shared" si="21"/>
        <v>0</v>
      </c>
      <c r="EO56" s="3">
        <f t="shared" si="21"/>
        <v>0</v>
      </c>
      <c r="EP56" s="3">
        <f t="shared" si="21"/>
        <v>0</v>
      </c>
      <c r="EQ56" s="3">
        <f t="shared" si="21"/>
        <v>0</v>
      </c>
      <c r="ER56" s="3">
        <f t="shared" si="21"/>
        <v>0</v>
      </c>
      <c r="ES56" s="3">
        <f t="shared" si="21"/>
        <v>0</v>
      </c>
      <c r="ET56" s="3">
        <f t="shared" si="21"/>
        <v>0</v>
      </c>
      <c r="EU56" s="3">
        <f t="shared" si="21"/>
        <v>0</v>
      </c>
      <c r="EV56" s="3">
        <f t="shared" si="21"/>
        <v>0</v>
      </c>
      <c r="EW56" s="3">
        <f t="shared" si="21"/>
        <v>0</v>
      </c>
      <c r="EX56" s="3">
        <f t="shared" si="21"/>
        <v>0</v>
      </c>
      <c r="EY56" s="3">
        <f t="shared" si="21"/>
        <v>0</v>
      </c>
      <c r="EZ56" s="3">
        <f t="shared" si="21"/>
        <v>0</v>
      </c>
      <c r="FA56" s="3">
        <f t="shared" si="21"/>
        <v>0</v>
      </c>
      <c r="FB56" s="3">
        <f t="shared" si="21"/>
        <v>0</v>
      </c>
      <c r="FC56" s="3">
        <f t="shared" si="21"/>
        <v>0</v>
      </c>
      <c r="FD56" s="3">
        <f t="shared" si="21"/>
        <v>0</v>
      </c>
      <c r="FE56" s="3">
        <f t="shared" si="21"/>
        <v>0</v>
      </c>
      <c r="FF56" s="3">
        <f t="shared" si="21"/>
        <v>0</v>
      </c>
      <c r="FG56" s="3">
        <f t="shared" si="21"/>
        <v>0</v>
      </c>
      <c r="FH56" s="3">
        <f t="shared" si="21"/>
        <v>0</v>
      </c>
      <c r="FI56" s="3">
        <f t="shared" si="21"/>
        <v>0</v>
      </c>
      <c r="FJ56" s="3">
        <f t="shared" si="21"/>
        <v>0</v>
      </c>
      <c r="FK56" s="3">
        <f t="shared" si="21"/>
        <v>0</v>
      </c>
      <c r="FL56" s="3">
        <f t="shared" si="21"/>
        <v>0</v>
      </c>
      <c r="FM56" s="3">
        <f t="shared" si="21"/>
        <v>0</v>
      </c>
      <c r="FN56" s="3">
        <f t="shared" si="21"/>
        <v>0</v>
      </c>
      <c r="FO56" s="3">
        <f t="shared" si="21"/>
        <v>0</v>
      </c>
      <c r="FP56" s="3">
        <f t="shared" si="21"/>
        <v>0</v>
      </c>
      <c r="FQ56" s="3">
        <f t="shared" si="21"/>
        <v>0</v>
      </c>
      <c r="FR56" s="3">
        <f t="shared" si="21"/>
        <v>0</v>
      </c>
      <c r="FS56" s="3">
        <f t="shared" ref="FS56:GX56" si="22">FS256</f>
        <v>0</v>
      </c>
      <c r="FT56" s="3">
        <f t="shared" si="22"/>
        <v>0</v>
      </c>
      <c r="FU56" s="3">
        <f t="shared" si="22"/>
        <v>0</v>
      </c>
      <c r="FV56" s="3">
        <f t="shared" si="22"/>
        <v>0</v>
      </c>
      <c r="FW56" s="3">
        <f t="shared" si="22"/>
        <v>0</v>
      </c>
      <c r="FX56" s="3">
        <f t="shared" si="22"/>
        <v>0</v>
      </c>
      <c r="FY56" s="3">
        <f t="shared" si="22"/>
        <v>0</v>
      </c>
      <c r="FZ56" s="3">
        <f t="shared" si="22"/>
        <v>0</v>
      </c>
      <c r="GA56" s="3">
        <f t="shared" si="22"/>
        <v>0</v>
      </c>
      <c r="GB56" s="3">
        <f t="shared" si="22"/>
        <v>0</v>
      </c>
      <c r="GC56" s="3">
        <f t="shared" si="22"/>
        <v>0</v>
      </c>
      <c r="GD56" s="3">
        <f t="shared" si="22"/>
        <v>0</v>
      </c>
      <c r="GE56" s="3">
        <f t="shared" si="22"/>
        <v>0</v>
      </c>
      <c r="GF56" s="3">
        <f t="shared" si="22"/>
        <v>0</v>
      </c>
      <c r="GG56" s="3">
        <f t="shared" si="22"/>
        <v>0</v>
      </c>
      <c r="GH56" s="3">
        <f t="shared" si="22"/>
        <v>0</v>
      </c>
      <c r="GI56" s="3">
        <f t="shared" si="22"/>
        <v>0</v>
      </c>
      <c r="GJ56" s="3">
        <f t="shared" si="22"/>
        <v>0</v>
      </c>
      <c r="GK56" s="3">
        <f t="shared" si="22"/>
        <v>0</v>
      </c>
      <c r="GL56" s="3">
        <f t="shared" si="22"/>
        <v>0</v>
      </c>
      <c r="GM56" s="3">
        <f t="shared" si="22"/>
        <v>0</v>
      </c>
      <c r="GN56" s="3">
        <f t="shared" si="22"/>
        <v>0</v>
      </c>
      <c r="GO56" s="3">
        <f t="shared" si="22"/>
        <v>0</v>
      </c>
      <c r="GP56" s="3">
        <f t="shared" si="22"/>
        <v>0</v>
      </c>
      <c r="GQ56" s="3">
        <f t="shared" si="22"/>
        <v>0</v>
      </c>
      <c r="GR56" s="3">
        <f t="shared" si="22"/>
        <v>0</v>
      </c>
      <c r="GS56" s="3">
        <f t="shared" si="22"/>
        <v>0</v>
      </c>
      <c r="GT56" s="3">
        <f t="shared" si="22"/>
        <v>0</v>
      </c>
      <c r="GU56" s="3">
        <f t="shared" si="22"/>
        <v>0</v>
      </c>
      <c r="GV56" s="3">
        <f t="shared" si="22"/>
        <v>0</v>
      </c>
      <c r="GW56" s="3">
        <f t="shared" si="22"/>
        <v>0</v>
      </c>
      <c r="GX56" s="3">
        <f t="shared" si="22"/>
        <v>0</v>
      </c>
    </row>
    <row r="58" spans="1:245" x14ac:dyDescent="0.2">
      <c r="A58" s="1">
        <v>4</v>
      </c>
      <c r="B58" s="1">
        <v>1</v>
      </c>
      <c r="C58" s="1"/>
      <c r="D58" s="1">
        <f>ROW(A69)</f>
        <v>69</v>
      </c>
      <c r="E58" s="1"/>
      <c r="F58" s="1" t="s">
        <v>72</v>
      </c>
      <c r="G58" s="1" t="s">
        <v>73</v>
      </c>
      <c r="H58" s="1" t="s">
        <v>3</v>
      </c>
      <c r="I58" s="1">
        <v>0</v>
      </c>
      <c r="J58" s="1"/>
      <c r="K58" s="1">
        <v>0</v>
      </c>
      <c r="L58" s="1"/>
      <c r="M58" s="1" t="s">
        <v>3</v>
      </c>
      <c r="N58" s="1"/>
      <c r="O58" s="1"/>
      <c r="P58" s="1"/>
      <c r="Q58" s="1"/>
      <c r="R58" s="1"/>
      <c r="S58" s="1">
        <v>0</v>
      </c>
      <c r="T58" s="1"/>
      <c r="U58" s="1" t="s">
        <v>3</v>
      </c>
      <c r="V58" s="1">
        <v>0</v>
      </c>
      <c r="W58" s="1"/>
      <c r="X58" s="1"/>
      <c r="Y58" s="1"/>
      <c r="Z58" s="1"/>
      <c r="AA58" s="1"/>
      <c r="AB58" s="1" t="s">
        <v>3</v>
      </c>
      <c r="AC58" s="1" t="s">
        <v>3</v>
      </c>
      <c r="AD58" s="1" t="s">
        <v>3</v>
      </c>
      <c r="AE58" s="1" t="s">
        <v>3</v>
      </c>
      <c r="AF58" s="1" t="s">
        <v>3</v>
      </c>
      <c r="AG58" s="1" t="s">
        <v>3</v>
      </c>
      <c r="AH58" s="1"/>
      <c r="AI58" s="1"/>
      <c r="AJ58" s="1"/>
      <c r="AK58" s="1"/>
      <c r="AL58" s="1"/>
      <c r="AM58" s="1"/>
      <c r="AN58" s="1"/>
      <c r="AO58" s="1"/>
      <c r="AP58" s="1" t="s">
        <v>3</v>
      </c>
      <c r="AQ58" s="1" t="s">
        <v>3</v>
      </c>
      <c r="AR58" s="1" t="s">
        <v>3</v>
      </c>
      <c r="AS58" s="1"/>
      <c r="AT58" s="1"/>
      <c r="AU58" s="1"/>
      <c r="AV58" s="1"/>
      <c r="AW58" s="1"/>
      <c r="AX58" s="1"/>
      <c r="AY58" s="1"/>
      <c r="AZ58" s="1" t="s">
        <v>3</v>
      </c>
      <c r="BA58" s="1"/>
      <c r="BB58" s="1" t="s">
        <v>3</v>
      </c>
      <c r="BC58" s="1" t="s">
        <v>3</v>
      </c>
      <c r="BD58" s="1" t="s">
        <v>3</v>
      </c>
      <c r="BE58" s="1" t="s">
        <v>3</v>
      </c>
      <c r="BF58" s="1" t="s">
        <v>3</v>
      </c>
      <c r="BG58" s="1" t="s">
        <v>3</v>
      </c>
      <c r="BH58" s="1" t="s">
        <v>3</v>
      </c>
      <c r="BI58" s="1" t="s">
        <v>3</v>
      </c>
      <c r="BJ58" s="1" t="s">
        <v>3</v>
      </c>
      <c r="BK58" s="1" t="s">
        <v>3</v>
      </c>
      <c r="BL58" s="1" t="s">
        <v>3</v>
      </c>
      <c r="BM58" s="1" t="s">
        <v>3</v>
      </c>
      <c r="BN58" s="1" t="s">
        <v>3</v>
      </c>
      <c r="BO58" s="1" t="s">
        <v>3</v>
      </c>
      <c r="BP58" s="1" t="s">
        <v>3</v>
      </c>
      <c r="BQ58" s="1"/>
      <c r="BR58" s="1"/>
      <c r="BS58" s="1"/>
      <c r="BT58" s="1"/>
      <c r="BU58" s="1"/>
      <c r="BV58" s="1"/>
      <c r="BW58" s="1"/>
      <c r="BX58" s="1">
        <v>0</v>
      </c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>
        <v>0</v>
      </c>
    </row>
    <row r="60" spans="1:245" x14ac:dyDescent="0.2">
      <c r="A60" s="2">
        <v>52</v>
      </c>
      <c r="B60" s="2">
        <f t="shared" ref="B60:G60" si="23">B69</f>
        <v>1</v>
      </c>
      <c r="C60" s="2">
        <f t="shared" si="23"/>
        <v>4</v>
      </c>
      <c r="D60" s="2">
        <f t="shared" si="23"/>
        <v>58</v>
      </c>
      <c r="E60" s="2">
        <f t="shared" si="23"/>
        <v>0</v>
      </c>
      <c r="F60" s="2" t="str">
        <f t="shared" si="23"/>
        <v>Новый раздел</v>
      </c>
      <c r="G60" s="2" t="str">
        <f t="shared" si="23"/>
        <v>Землянные работы</v>
      </c>
      <c r="H60" s="2"/>
      <c r="I60" s="2"/>
      <c r="J60" s="2"/>
      <c r="K60" s="2"/>
      <c r="L60" s="2"/>
      <c r="M60" s="2"/>
      <c r="N60" s="2"/>
      <c r="O60" s="2">
        <f t="shared" ref="O60:AT60" si="24">O69</f>
        <v>1202816.8799999999</v>
      </c>
      <c r="P60" s="2">
        <f t="shared" si="24"/>
        <v>243925.84</v>
      </c>
      <c r="Q60" s="2">
        <f t="shared" si="24"/>
        <v>22017.31</v>
      </c>
      <c r="R60" s="2">
        <f t="shared" si="24"/>
        <v>8417.84</v>
      </c>
      <c r="S60" s="2">
        <f t="shared" si="24"/>
        <v>928455.89</v>
      </c>
      <c r="T60" s="2">
        <f t="shared" si="24"/>
        <v>0</v>
      </c>
      <c r="U60" s="2">
        <f t="shared" si="24"/>
        <v>2341.7592000000004</v>
      </c>
      <c r="V60" s="2">
        <f t="shared" si="24"/>
        <v>17.16</v>
      </c>
      <c r="W60" s="2">
        <f t="shared" si="24"/>
        <v>0</v>
      </c>
      <c r="X60" s="2">
        <f t="shared" si="24"/>
        <v>869259.93</v>
      </c>
      <c r="Y60" s="2">
        <f t="shared" si="24"/>
        <v>455760.51</v>
      </c>
      <c r="Z60" s="2">
        <f t="shared" si="24"/>
        <v>0</v>
      </c>
      <c r="AA60" s="2">
        <f t="shared" si="24"/>
        <v>0</v>
      </c>
      <c r="AB60" s="2">
        <f t="shared" si="24"/>
        <v>1202816.8799999999</v>
      </c>
      <c r="AC60" s="2">
        <f t="shared" si="24"/>
        <v>243925.84</v>
      </c>
      <c r="AD60" s="2">
        <f t="shared" si="24"/>
        <v>22017.31</v>
      </c>
      <c r="AE60" s="2">
        <f t="shared" si="24"/>
        <v>8417.84</v>
      </c>
      <c r="AF60" s="2">
        <f t="shared" si="24"/>
        <v>928455.89</v>
      </c>
      <c r="AG60" s="2">
        <f t="shared" si="24"/>
        <v>0</v>
      </c>
      <c r="AH60" s="2">
        <f t="shared" si="24"/>
        <v>2341.7592000000004</v>
      </c>
      <c r="AI60" s="2">
        <f t="shared" si="24"/>
        <v>17.16</v>
      </c>
      <c r="AJ60" s="2">
        <f t="shared" si="24"/>
        <v>0</v>
      </c>
      <c r="AK60" s="2">
        <f t="shared" si="24"/>
        <v>869259.93</v>
      </c>
      <c r="AL60" s="2">
        <f t="shared" si="24"/>
        <v>455760.51</v>
      </c>
      <c r="AM60" s="2">
        <f t="shared" si="24"/>
        <v>0</v>
      </c>
      <c r="AN60" s="2">
        <f t="shared" si="24"/>
        <v>0</v>
      </c>
      <c r="AO60" s="2">
        <f t="shared" si="24"/>
        <v>0</v>
      </c>
      <c r="AP60" s="2">
        <f t="shared" si="24"/>
        <v>0</v>
      </c>
      <c r="AQ60" s="2">
        <f t="shared" si="24"/>
        <v>0</v>
      </c>
      <c r="AR60" s="2">
        <f t="shared" si="24"/>
        <v>2527837.3199999998</v>
      </c>
      <c r="AS60" s="2">
        <f t="shared" si="24"/>
        <v>2527837.3199999998</v>
      </c>
      <c r="AT60" s="2">
        <f t="shared" si="24"/>
        <v>0</v>
      </c>
      <c r="AU60" s="2">
        <f t="shared" ref="AU60:BZ60" si="25">AU69</f>
        <v>0</v>
      </c>
      <c r="AV60" s="2">
        <f t="shared" si="25"/>
        <v>243925.84</v>
      </c>
      <c r="AW60" s="2">
        <f t="shared" si="25"/>
        <v>243925.84</v>
      </c>
      <c r="AX60" s="2">
        <f t="shared" si="25"/>
        <v>0</v>
      </c>
      <c r="AY60" s="2">
        <f t="shared" si="25"/>
        <v>243925.84</v>
      </c>
      <c r="AZ60" s="2">
        <f t="shared" si="25"/>
        <v>0</v>
      </c>
      <c r="BA60" s="2">
        <f t="shared" si="25"/>
        <v>0</v>
      </c>
      <c r="BB60" s="2">
        <f t="shared" si="25"/>
        <v>0</v>
      </c>
      <c r="BC60" s="2">
        <f t="shared" si="25"/>
        <v>0</v>
      </c>
      <c r="BD60" s="2">
        <f t="shared" si="25"/>
        <v>0</v>
      </c>
      <c r="BE60" s="2">
        <f t="shared" si="25"/>
        <v>0</v>
      </c>
      <c r="BF60" s="2">
        <f t="shared" si="25"/>
        <v>0</v>
      </c>
      <c r="BG60" s="2">
        <f t="shared" si="25"/>
        <v>0</v>
      </c>
      <c r="BH60" s="2">
        <f t="shared" si="25"/>
        <v>0</v>
      </c>
      <c r="BI60" s="2">
        <f t="shared" si="25"/>
        <v>0</v>
      </c>
      <c r="BJ60" s="2">
        <f t="shared" si="25"/>
        <v>0</v>
      </c>
      <c r="BK60" s="2">
        <f t="shared" si="25"/>
        <v>0</v>
      </c>
      <c r="BL60" s="2">
        <f t="shared" si="25"/>
        <v>0</v>
      </c>
      <c r="BM60" s="2">
        <f t="shared" si="25"/>
        <v>0</v>
      </c>
      <c r="BN60" s="2">
        <f t="shared" si="25"/>
        <v>0</v>
      </c>
      <c r="BO60" s="2">
        <f t="shared" si="25"/>
        <v>0</v>
      </c>
      <c r="BP60" s="2">
        <f t="shared" si="25"/>
        <v>0</v>
      </c>
      <c r="BQ60" s="2">
        <f t="shared" si="25"/>
        <v>0</v>
      </c>
      <c r="BR60" s="2">
        <f t="shared" si="25"/>
        <v>0</v>
      </c>
      <c r="BS60" s="2">
        <f t="shared" si="25"/>
        <v>0</v>
      </c>
      <c r="BT60" s="2">
        <f t="shared" si="25"/>
        <v>0</v>
      </c>
      <c r="BU60" s="2">
        <f t="shared" si="25"/>
        <v>0</v>
      </c>
      <c r="BV60" s="2">
        <f t="shared" si="25"/>
        <v>0</v>
      </c>
      <c r="BW60" s="2">
        <f t="shared" si="25"/>
        <v>0</v>
      </c>
      <c r="BX60" s="2">
        <f t="shared" si="25"/>
        <v>0</v>
      </c>
      <c r="BY60" s="2">
        <f t="shared" si="25"/>
        <v>0</v>
      </c>
      <c r="BZ60" s="2">
        <f t="shared" si="25"/>
        <v>0</v>
      </c>
      <c r="CA60" s="2">
        <f t="shared" ref="CA60:DF60" si="26">CA69</f>
        <v>2527837.3199999998</v>
      </c>
      <c r="CB60" s="2">
        <f t="shared" si="26"/>
        <v>2527837.3199999998</v>
      </c>
      <c r="CC60" s="2">
        <f t="shared" si="26"/>
        <v>0</v>
      </c>
      <c r="CD60" s="2">
        <f t="shared" si="26"/>
        <v>0</v>
      </c>
      <c r="CE60" s="2">
        <f t="shared" si="26"/>
        <v>243925.84</v>
      </c>
      <c r="CF60" s="2">
        <f t="shared" si="26"/>
        <v>243925.84</v>
      </c>
      <c r="CG60" s="2">
        <f t="shared" si="26"/>
        <v>0</v>
      </c>
      <c r="CH60" s="2">
        <f t="shared" si="26"/>
        <v>243925.84</v>
      </c>
      <c r="CI60" s="2">
        <f t="shared" si="26"/>
        <v>0</v>
      </c>
      <c r="CJ60" s="2">
        <f t="shared" si="26"/>
        <v>0</v>
      </c>
      <c r="CK60" s="2">
        <f t="shared" si="26"/>
        <v>0</v>
      </c>
      <c r="CL60" s="2">
        <f t="shared" si="26"/>
        <v>0</v>
      </c>
      <c r="CM60" s="2">
        <f t="shared" si="26"/>
        <v>0</v>
      </c>
      <c r="CN60" s="2">
        <f t="shared" si="26"/>
        <v>0</v>
      </c>
      <c r="CO60" s="2">
        <f t="shared" si="26"/>
        <v>0</v>
      </c>
      <c r="CP60" s="2">
        <f t="shared" si="26"/>
        <v>0</v>
      </c>
      <c r="CQ60" s="2">
        <f t="shared" si="26"/>
        <v>0</v>
      </c>
      <c r="CR60" s="2">
        <f t="shared" si="26"/>
        <v>0</v>
      </c>
      <c r="CS60" s="2">
        <f t="shared" si="26"/>
        <v>0</v>
      </c>
      <c r="CT60" s="2">
        <f t="shared" si="26"/>
        <v>0</v>
      </c>
      <c r="CU60" s="2">
        <f t="shared" si="26"/>
        <v>0</v>
      </c>
      <c r="CV60" s="2">
        <f t="shared" si="26"/>
        <v>0</v>
      </c>
      <c r="CW60" s="2">
        <f t="shared" si="26"/>
        <v>0</v>
      </c>
      <c r="CX60" s="2">
        <f t="shared" si="26"/>
        <v>0</v>
      </c>
      <c r="CY60" s="2">
        <f t="shared" si="26"/>
        <v>0</v>
      </c>
      <c r="CZ60" s="2">
        <f t="shared" si="26"/>
        <v>0</v>
      </c>
      <c r="DA60" s="2">
        <f t="shared" si="26"/>
        <v>0</v>
      </c>
      <c r="DB60" s="2">
        <f t="shared" si="26"/>
        <v>0</v>
      </c>
      <c r="DC60" s="2">
        <f t="shared" si="26"/>
        <v>0</v>
      </c>
      <c r="DD60" s="2">
        <f t="shared" si="26"/>
        <v>0</v>
      </c>
      <c r="DE60" s="2">
        <f t="shared" si="26"/>
        <v>0</v>
      </c>
      <c r="DF60" s="2">
        <f t="shared" si="26"/>
        <v>0</v>
      </c>
      <c r="DG60" s="3">
        <f t="shared" ref="DG60:EL60" si="27">DG69</f>
        <v>0</v>
      </c>
      <c r="DH60" s="3">
        <f t="shared" si="27"/>
        <v>0</v>
      </c>
      <c r="DI60" s="3">
        <f t="shared" si="27"/>
        <v>0</v>
      </c>
      <c r="DJ60" s="3">
        <f t="shared" si="27"/>
        <v>0</v>
      </c>
      <c r="DK60" s="3">
        <f t="shared" si="27"/>
        <v>0</v>
      </c>
      <c r="DL60" s="3">
        <f t="shared" si="27"/>
        <v>0</v>
      </c>
      <c r="DM60" s="3">
        <f t="shared" si="27"/>
        <v>0</v>
      </c>
      <c r="DN60" s="3">
        <f t="shared" si="27"/>
        <v>0</v>
      </c>
      <c r="DO60" s="3">
        <f t="shared" si="27"/>
        <v>0</v>
      </c>
      <c r="DP60" s="3">
        <f t="shared" si="27"/>
        <v>0</v>
      </c>
      <c r="DQ60" s="3">
        <f t="shared" si="27"/>
        <v>0</v>
      </c>
      <c r="DR60" s="3">
        <f t="shared" si="27"/>
        <v>0</v>
      </c>
      <c r="DS60" s="3">
        <f t="shared" si="27"/>
        <v>0</v>
      </c>
      <c r="DT60" s="3">
        <f t="shared" si="27"/>
        <v>0</v>
      </c>
      <c r="DU60" s="3">
        <f t="shared" si="27"/>
        <v>0</v>
      </c>
      <c r="DV60" s="3">
        <f t="shared" si="27"/>
        <v>0</v>
      </c>
      <c r="DW60" s="3">
        <f t="shared" si="27"/>
        <v>0</v>
      </c>
      <c r="DX60" s="3">
        <f t="shared" si="27"/>
        <v>0</v>
      </c>
      <c r="DY60" s="3">
        <f t="shared" si="27"/>
        <v>0</v>
      </c>
      <c r="DZ60" s="3">
        <f t="shared" si="27"/>
        <v>0</v>
      </c>
      <c r="EA60" s="3">
        <f t="shared" si="27"/>
        <v>0</v>
      </c>
      <c r="EB60" s="3">
        <f t="shared" si="27"/>
        <v>0</v>
      </c>
      <c r="EC60" s="3">
        <f t="shared" si="27"/>
        <v>0</v>
      </c>
      <c r="ED60" s="3">
        <f t="shared" si="27"/>
        <v>0</v>
      </c>
      <c r="EE60" s="3">
        <f t="shared" si="27"/>
        <v>0</v>
      </c>
      <c r="EF60" s="3">
        <f t="shared" si="27"/>
        <v>0</v>
      </c>
      <c r="EG60" s="3">
        <f t="shared" si="27"/>
        <v>0</v>
      </c>
      <c r="EH60" s="3">
        <f t="shared" si="27"/>
        <v>0</v>
      </c>
      <c r="EI60" s="3">
        <f t="shared" si="27"/>
        <v>0</v>
      </c>
      <c r="EJ60" s="3">
        <f t="shared" si="27"/>
        <v>0</v>
      </c>
      <c r="EK60" s="3">
        <f t="shared" si="27"/>
        <v>0</v>
      </c>
      <c r="EL60" s="3">
        <f t="shared" si="27"/>
        <v>0</v>
      </c>
      <c r="EM60" s="3">
        <f t="shared" ref="EM60:FR60" si="28">EM69</f>
        <v>0</v>
      </c>
      <c r="EN60" s="3">
        <f t="shared" si="28"/>
        <v>0</v>
      </c>
      <c r="EO60" s="3">
        <f t="shared" si="28"/>
        <v>0</v>
      </c>
      <c r="EP60" s="3">
        <f t="shared" si="28"/>
        <v>0</v>
      </c>
      <c r="EQ60" s="3">
        <f t="shared" si="28"/>
        <v>0</v>
      </c>
      <c r="ER60" s="3">
        <f t="shared" si="28"/>
        <v>0</v>
      </c>
      <c r="ES60" s="3">
        <f t="shared" si="28"/>
        <v>0</v>
      </c>
      <c r="ET60" s="3">
        <f t="shared" si="28"/>
        <v>0</v>
      </c>
      <c r="EU60" s="3">
        <f t="shared" si="28"/>
        <v>0</v>
      </c>
      <c r="EV60" s="3">
        <f t="shared" si="28"/>
        <v>0</v>
      </c>
      <c r="EW60" s="3">
        <f t="shared" si="28"/>
        <v>0</v>
      </c>
      <c r="EX60" s="3">
        <f t="shared" si="28"/>
        <v>0</v>
      </c>
      <c r="EY60" s="3">
        <f t="shared" si="28"/>
        <v>0</v>
      </c>
      <c r="EZ60" s="3">
        <f t="shared" si="28"/>
        <v>0</v>
      </c>
      <c r="FA60" s="3">
        <f t="shared" si="28"/>
        <v>0</v>
      </c>
      <c r="FB60" s="3">
        <f t="shared" si="28"/>
        <v>0</v>
      </c>
      <c r="FC60" s="3">
        <f t="shared" si="28"/>
        <v>0</v>
      </c>
      <c r="FD60" s="3">
        <f t="shared" si="28"/>
        <v>0</v>
      </c>
      <c r="FE60" s="3">
        <f t="shared" si="28"/>
        <v>0</v>
      </c>
      <c r="FF60" s="3">
        <f t="shared" si="28"/>
        <v>0</v>
      </c>
      <c r="FG60" s="3">
        <f t="shared" si="28"/>
        <v>0</v>
      </c>
      <c r="FH60" s="3">
        <f t="shared" si="28"/>
        <v>0</v>
      </c>
      <c r="FI60" s="3">
        <f t="shared" si="28"/>
        <v>0</v>
      </c>
      <c r="FJ60" s="3">
        <f t="shared" si="28"/>
        <v>0</v>
      </c>
      <c r="FK60" s="3">
        <f t="shared" si="28"/>
        <v>0</v>
      </c>
      <c r="FL60" s="3">
        <f t="shared" si="28"/>
        <v>0</v>
      </c>
      <c r="FM60" s="3">
        <f t="shared" si="28"/>
        <v>0</v>
      </c>
      <c r="FN60" s="3">
        <f t="shared" si="28"/>
        <v>0</v>
      </c>
      <c r="FO60" s="3">
        <f t="shared" si="28"/>
        <v>0</v>
      </c>
      <c r="FP60" s="3">
        <f t="shared" si="28"/>
        <v>0</v>
      </c>
      <c r="FQ60" s="3">
        <f t="shared" si="28"/>
        <v>0</v>
      </c>
      <c r="FR60" s="3">
        <f t="shared" si="28"/>
        <v>0</v>
      </c>
      <c r="FS60" s="3">
        <f t="shared" ref="FS60:GX60" si="29">FS69</f>
        <v>0</v>
      </c>
      <c r="FT60" s="3">
        <f t="shared" si="29"/>
        <v>0</v>
      </c>
      <c r="FU60" s="3">
        <f t="shared" si="29"/>
        <v>0</v>
      </c>
      <c r="FV60" s="3">
        <f t="shared" si="29"/>
        <v>0</v>
      </c>
      <c r="FW60" s="3">
        <f t="shared" si="29"/>
        <v>0</v>
      </c>
      <c r="FX60" s="3">
        <f t="shared" si="29"/>
        <v>0</v>
      </c>
      <c r="FY60" s="3">
        <f t="shared" si="29"/>
        <v>0</v>
      </c>
      <c r="FZ60" s="3">
        <f t="shared" si="29"/>
        <v>0</v>
      </c>
      <c r="GA60" s="3">
        <f t="shared" si="29"/>
        <v>0</v>
      </c>
      <c r="GB60" s="3">
        <f t="shared" si="29"/>
        <v>0</v>
      </c>
      <c r="GC60" s="3">
        <f t="shared" si="29"/>
        <v>0</v>
      </c>
      <c r="GD60" s="3">
        <f t="shared" si="29"/>
        <v>0</v>
      </c>
      <c r="GE60" s="3">
        <f t="shared" si="29"/>
        <v>0</v>
      </c>
      <c r="GF60" s="3">
        <f t="shared" si="29"/>
        <v>0</v>
      </c>
      <c r="GG60" s="3">
        <f t="shared" si="29"/>
        <v>0</v>
      </c>
      <c r="GH60" s="3">
        <f t="shared" si="29"/>
        <v>0</v>
      </c>
      <c r="GI60" s="3">
        <f t="shared" si="29"/>
        <v>0</v>
      </c>
      <c r="GJ60" s="3">
        <f t="shared" si="29"/>
        <v>0</v>
      </c>
      <c r="GK60" s="3">
        <f t="shared" si="29"/>
        <v>0</v>
      </c>
      <c r="GL60" s="3">
        <f t="shared" si="29"/>
        <v>0</v>
      </c>
      <c r="GM60" s="3">
        <f t="shared" si="29"/>
        <v>0</v>
      </c>
      <c r="GN60" s="3">
        <f t="shared" si="29"/>
        <v>0</v>
      </c>
      <c r="GO60" s="3">
        <f t="shared" si="29"/>
        <v>0</v>
      </c>
      <c r="GP60" s="3">
        <f t="shared" si="29"/>
        <v>0</v>
      </c>
      <c r="GQ60" s="3">
        <f t="shared" si="29"/>
        <v>0</v>
      </c>
      <c r="GR60" s="3">
        <f t="shared" si="29"/>
        <v>0</v>
      </c>
      <c r="GS60" s="3">
        <f t="shared" si="29"/>
        <v>0</v>
      </c>
      <c r="GT60" s="3">
        <f t="shared" si="29"/>
        <v>0</v>
      </c>
      <c r="GU60" s="3">
        <f t="shared" si="29"/>
        <v>0</v>
      </c>
      <c r="GV60" s="3">
        <f t="shared" si="29"/>
        <v>0</v>
      </c>
      <c r="GW60" s="3">
        <f t="shared" si="29"/>
        <v>0</v>
      </c>
      <c r="GX60" s="3">
        <f t="shared" si="29"/>
        <v>0</v>
      </c>
    </row>
    <row r="62" spans="1:245" x14ac:dyDescent="0.2">
      <c r="A62">
        <v>17</v>
      </c>
      <c r="B62">
        <v>1</v>
      </c>
      <c r="C62">
        <f>ROW(SmtRes!A1)</f>
        <v>1</v>
      </c>
      <c r="D62">
        <f>ROW(EtalonRes!A1)</f>
        <v>1</v>
      </c>
      <c r="E62" t="s">
        <v>74</v>
      </c>
      <c r="F62" t="s">
        <v>75</v>
      </c>
      <c r="G62" t="s">
        <v>76</v>
      </c>
      <c r="H62" t="s">
        <v>77</v>
      </c>
      <c r="I62">
        <f>ROUND(633.6/100,7)</f>
        <v>6.3360000000000003</v>
      </c>
      <c r="J62">
        <v>0</v>
      </c>
      <c r="K62">
        <f>ROUND(633.6/100,7)</f>
        <v>6.3360000000000003</v>
      </c>
      <c r="O62">
        <f t="shared" ref="O62:O67" si="30">ROUND(CP62,2)</f>
        <v>447753.8</v>
      </c>
      <c r="P62">
        <f>SUMIF(SmtRes!AQ1:'SmtRes'!AQ1,"=1",SmtRes!DF1:'SmtRes'!DF1)</f>
        <v>0</v>
      </c>
      <c r="Q62">
        <f>SUMIF(SmtRes!AQ1:'SmtRes'!AQ1,"=1",SmtRes!DG1:'SmtRes'!DG1)</f>
        <v>0</v>
      </c>
      <c r="R62">
        <f>SUMIF(SmtRes!AQ1:'SmtRes'!AQ1,"=1",SmtRes!DH1:'SmtRes'!DH1)</f>
        <v>0</v>
      </c>
      <c r="S62">
        <f>SUMIF(SmtRes!AQ1:'SmtRes'!AQ1,"=1",SmtRes!DI1:'SmtRes'!DI1)</f>
        <v>447753.8</v>
      </c>
      <c r="T62">
        <f t="shared" ref="T62:T67" si="31">ROUND(CU62*I62,2)</f>
        <v>0</v>
      </c>
      <c r="U62">
        <f>SUMIF(SmtRes!AQ1:'SmtRes'!AQ1,"=1",SmtRes!CV1:'SmtRes'!CV1)</f>
        <v>1122.1056000000001</v>
      </c>
      <c r="V62">
        <f>SUMIF(SmtRes!AQ1:'SmtRes'!AQ1,"=1",SmtRes!CW1:'SmtRes'!CW1)</f>
        <v>0</v>
      </c>
      <c r="W62">
        <f t="shared" ref="W62:W67" si="32">ROUND(CX62*I62,2)</f>
        <v>0</v>
      </c>
      <c r="X62">
        <f t="shared" ref="X62:Y67" si="33">ROUND(CY62,2)</f>
        <v>398500.88</v>
      </c>
      <c r="Y62">
        <f t="shared" si="33"/>
        <v>179101.52</v>
      </c>
      <c r="AA62">
        <v>65174513</v>
      </c>
      <c r="AB62">
        <f t="shared" ref="AB62:AB67" si="34">ROUND((AC62+AD62+AF62),6)</f>
        <v>70668.213000000003</v>
      </c>
      <c r="AC62">
        <f>ROUND((0),6)</f>
        <v>0</v>
      </c>
      <c r="AD62">
        <f>ROUND((((0)-(0))+AE62),6)</f>
        <v>0</v>
      </c>
      <c r="AE62">
        <f>ROUND((0),6)</f>
        <v>0</v>
      </c>
      <c r="AF62">
        <f>ROUND((SUM(SmtRes!BT1:'SmtRes'!BT1)),6)</f>
        <v>70668.213000000003</v>
      </c>
      <c r="AG62">
        <f t="shared" ref="AG62:AG67" si="35">ROUND((AP62),6)</f>
        <v>0</v>
      </c>
      <c r="AH62">
        <f>(SUM(SmtRes!BU1:'SmtRes'!BU1))</f>
        <v>177.1</v>
      </c>
      <c r="AI62">
        <f>(0)</f>
        <v>0</v>
      </c>
      <c r="AJ62">
        <f t="shared" ref="AJ62:AJ67" si="36">(AS62)</f>
        <v>0</v>
      </c>
      <c r="AK62">
        <v>61450.619999999995</v>
      </c>
      <c r="AL62">
        <v>0</v>
      </c>
      <c r="AM62">
        <v>0</v>
      </c>
      <c r="AN62">
        <v>0</v>
      </c>
      <c r="AO62">
        <v>61450.619999999995</v>
      </c>
      <c r="AP62">
        <v>0</v>
      </c>
      <c r="AQ62">
        <v>154</v>
      </c>
      <c r="AR62">
        <v>0</v>
      </c>
      <c r="AS62">
        <v>0</v>
      </c>
      <c r="AT62">
        <v>89</v>
      </c>
      <c r="AU62">
        <v>40</v>
      </c>
      <c r="AV62">
        <v>1</v>
      </c>
      <c r="AW62">
        <v>1</v>
      </c>
      <c r="AZ62">
        <v>1</v>
      </c>
      <c r="BA62">
        <v>1</v>
      </c>
      <c r="BB62">
        <v>1</v>
      </c>
      <c r="BC62">
        <v>1</v>
      </c>
      <c r="BD62" t="s">
        <v>3</v>
      </c>
      <c r="BE62" t="s">
        <v>3</v>
      </c>
      <c r="BF62" t="s">
        <v>3</v>
      </c>
      <c r="BG62" t="s">
        <v>3</v>
      </c>
      <c r="BH62">
        <v>0</v>
      </c>
      <c r="BI62">
        <v>1</v>
      </c>
      <c r="BJ62" t="s">
        <v>78</v>
      </c>
      <c r="BM62">
        <v>1003</v>
      </c>
      <c r="BN62">
        <v>0</v>
      </c>
      <c r="BO62" t="s">
        <v>3</v>
      </c>
      <c r="BP62">
        <v>0</v>
      </c>
      <c r="BQ62">
        <v>2</v>
      </c>
      <c r="BR62">
        <v>0</v>
      </c>
      <c r="BS62">
        <v>1</v>
      </c>
      <c r="BT62">
        <v>1</v>
      </c>
      <c r="BU62">
        <v>1</v>
      </c>
      <c r="BV62">
        <v>1</v>
      </c>
      <c r="BW62">
        <v>1</v>
      </c>
      <c r="BX62">
        <v>1</v>
      </c>
      <c r="BY62" t="s">
        <v>3</v>
      </c>
      <c r="BZ62">
        <v>89</v>
      </c>
      <c r="CA62">
        <v>40</v>
      </c>
      <c r="CB62" t="s">
        <v>3</v>
      </c>
      <c r="CE62">
        <v>0</v>
      </c>
      <c r="CF62">
        <v>0</v>
      </c>
      <c r="CG62">
        <v>0</v>
      </c>
      <c r="CM62">
        <v>0</v>
      </c>
      <c r="CN62" t="s">
        <v>79</v>
      </c>
      <c r="CO62">
        <v>0</v>
      </c>
      <c r="CP62">
        <f t="shared" ref="CP62:CP67" si="37">(P62+Q62+S62+R62)</f>
        <v>447753.8</v>
      </c>
      <c r="CQ62">
        <f>SUMIF(SmtRes!AQ1:'SmtRes'!AQ1,"=1",SmtRes!AA1:'SmtRes'!AA1)</f>
        <v>0</v>
      </c>
      <c r="CR62">
        <f>SUMIF(SmtRes!AQ1:'SmtRes'!AQ1,"=1",SmtRes!AB1:'SmtRes'!AB1)</f>
        <v>0</v>
      </c>
      <c r="CS62">
        <f>SUMIF(SmtRes!AQ1:'SmtRes'!AQ1,"=1",SmtRes!AC1:'SmtRes'!AC1)</f>
        <v>0</v>
      </c>
      <c r="CT62">
        <f>SUMIF(SmtRes!AQ1:'SmtRes'!AQ1,"=1",SmtRes!AD1:'SmtRes'!AD1)</f>
        <v>399.03</v>
      </c>
      <c r="CU62">
        <f t="shared" ref="CU62:CU67" si="38">AG62</f>
        <v>0</v>
      </c>
      <c r="CV62">
        <f>SUMIF(SmtRes!AQ1:'SmtRes'!AQ1,"=1",SmtRes!BU1:'SmtRes'!BU1)</f>
        <v>177.1</v>
      </c>
      <c r="CW62">
        <f>SUMIF(SmtRes!AQ1:'SmtRes'!AQ1,"=1",SmtRes!BV1:'SmtRes'!BV1)</f>
        <v>0</v>
      </c>
      <c r="CX62">
        <f t="shared" ref="CX62:CX67" si="39">AJ62</f>
        <v>0</v>
      </c>
      <c r="CY62">
        <f t="shared" ref="CY62:CY67" si="40">(((S62+R62)*AT62)/100)</f>
        <v>398500.88199999998</v>
      </c>
      <c r="CZ62">
        <f t="shared" ref="CZ62:CZ67" si="41">(((S62+R62)*AU62)/100)</f>
        <v>179101.52</v>
      </c>
      <c r="DB62">
        <v>1</v>
      </c>
      <c r="DC62" t="s">
        <v>3</v>
      </c>
      <c r="DD62" t="s">
        <v>3</v>
      </c>
      <c r="DE62" t="s">
        <v>3</v>
      </c>
      <c r="DF62" t="s">
        <v>3</v>
      </c>
      <c r="DG62" t="s">
        <v>80</v>
      </c>
      <c r="DH62" t="s">
        <v>3</v>
      </c>
      <c r="DI62" t="s">
        <v>80</v>
      </c>
      <c r="DJ62" t="s">
        <v>3</v>
      </c>
      <c r="DK62" t="s">
        <v>3</v>
      </c>
      <c r="DL62" t="s">
        <v>3</v>
      </c>
      <c r="DM62" t="s">
        <v>3</v>
      </c>
      <c r="DN62">
        <v>0</v>
      </c>
      <c r="DO62">
        <v>0</v>
      </c>
      <c r="DP62">
        <v>1</v>
      </c>
      <c r="DQ62">
        <v>1</v>
      </c>
      <c r="DU62">
        <v>1007</v>
      </c>
      <c r="DV62" t="s">
        <v>77</v>
      </c>
      <c r="DW62" t="s">
        <v>77</v>
      </c>
      <c r="DX62">
        <v>100</v>
      </c>
      <c r="DZ62" t="s">
        <v>3</v>
      </c>
      <c r="EA62" t="s">
        <v>3</v>
      </c>
      <c r="EB62" t="s">
        <v>3</v>
      </c>
      <c r="EC62" t="s">
        <v>3</v>
      </c>
      <c r="EE62">
        <v>64850978</v>
      </c>
      <c r="EF62">
        <v>2</v>
      </c>
      <c r="EG62" t="s">
        <v>81</v>
      </c>
      <c r="EH62">
        <v>1</v>
      </c>
      <c r="EI62" t="s">
        <v>82</v>
      </c>
      <c r="EJ62">
        <v>1</v>
      </c>
      <c r="EK62">
        <v>1003</v>
      </c>
      <c r="EL62" t="s">
        <v>83</v>
      </c>
      <c r="EM62" t="s">
        <v>84</v>
      </c>
      <c r="EO62" t="s">
        <v>85</v>
      </c>
      <c r="EQ62">
        <v>0</v>
      </c>
      <c r="ER62">
        <v>0</v>
      </c>
      <c r="ES62">
        <v>0</v>
      </c>
      <c r="ET62">
        <v>0</v>
      </c>
      <c r="EU62">
        <v>0</v>
      </c>
      <c r="EV62">
        <v>0</v>
      </c>
      <c r="EW62">
        <v>154</v>
      </c>
      <c r="EX62">
        <v>0</v>
      </c>
      <c r="EY62">
        <v>0</v>
      </c>
      <c r="FQ62">
        <v>0</v>
      </c>
      <c r="FR62">
        <f t="shared" ref="FR62:FR67" si="42">ROUND(IF(BI62=3,GM62,0),2)</f>
        <v>0</v>
      </c>
      <c r="FS62">
        <v>0</v>
      </c>
      <c r="FX62">
        <v>89</v>
      </c>
      <c r="FY62">
        <v>40</v>
      </c>
      <c r="GA62" t="s">
        <v>3</v>
      </c>
      <c r="GD62">
        <v>1</v>
      </c>
      <c r="GF62">
        <v>-696138492</v>
      </c>
      <c r="GG62">
        <v>2</v>
      </c>
      <c r="GH62">
        <v>1</v>
      </c>
      <c r="GI62">
        <v>-2</v>
      </c>
      <c r="GJ62">
        <v>0</v>
      </c>
      <c r="GK62">
        <v>0</v>
      </c>
      <c r="GL62">
        <f t="shared" ref="GL62:GL67" si="43">ROUND(IF(AND(BH62=3,BI62=3,FS62&lt;&gt;0),P62,0),2)</f>
        <v>0</v>
      </c>
      <c r="GM62">
        <f t="shared" ref="GM62:GM67" si="44">ROUND(O62+X62+Y62,2)+GX62</f>
        <v>1025356.2</v>
      </c>
      <c r="GN62">
        <f t="shared" ref="GN62:GN67" si="45">IF(OR(BI62=0,BI62=1),GM62-GX62,0)</f>
        <v>1025356.2</v>
      </c>
      <c r="GO62">
        <f t="shared" ref="GO62:GO67" si="46">IF(BI62=2,GM62-GX62,0)</f>
        <v>0</v>
      </c>
      <c r="GP62">
        <f t="shared" ref="GP62:GP67" si="47">IF(BI62=4,GM62-GX62,0)</f>
        <v>0</v>
      </c>
      <c r="GR62">
        <v>0</v>
      </c>
      <c r="GS62">
        <v>0</v>
      </c>
      <c r="GT62">
        <v>0</v>
      </c>
      <c r="GU62" t="s">
        <v>3</v>
      </c>
      <c r="GV62">
        <f t="shared" ref="GV62:GV67" si="48">ROUND((GT62),6)</f>
        <v>0</v>
      </c>
      <c r="GW62">
        <v>1</v>
      </c>
      <c r="GX62">
        <f t="shared" ref="GX62:GX67" si="49">ROUND(HC62*I62,2)</f>
        <v>0</v>
      </c>
      <c r="HA62">
        <v>0</v>
      </c>
      <c r="HB62">
        <v>0</v>
      </c>
      <c r="HC62">
        <f t="shared" ref="HC62:HC67" si="50">GV62*GW62</f>
        <v>0</v>
      </c>
      <c r="HE62" t="s">
        <v>3</v>
      </c>
      <c r="HF62" t="s">
        <v>3</v>
      </c>
      <c r="HM62" t="s">
        <v>3</v>
      </c>
      <c r="HN62" t="s">
        <v>86</v>
      </c>
      <c r="HO62" t="s">
        <v>87</v>
      </c>
      <c r="HP62" t="s">
        <v>83</v>
      </c>
      <c r="HQ62" t="s">
        <v>83</v>
      </c>
      <c r="IK62">
        <v>0</v>
      </c>
    </row>
    <row r="63" spans="1:245" x14ac:dyDescent="0.2">
      <c r="A63">
        <v>17</v>
      </c>
      <c r="B63">
        <v>1</v>
      </c>
      <c r="C63">
        <f>ROW(SmtRes!A2)</f>
        <v>2</v>
      </c>
      <c r="D63">
        <f>ROW(EtalonRes!A2)</f>
        <v>2</v>
      </c>
      <c r="E63" t="s">
        <v>88</v>
      </c>
      <c r="F63" t="s">
        <v>89</v>
      </c>
      <c r="G63" t="s">
        <v>90</v>
      </c>
      <c r="H63" t="s">
        <v>77</v>
      </c>
      <c r="I63">
        <f>ROUND(633.6/100,7)</f>
        <v>6.3360000000000003</v>
      </c>
      <c r="J63">
        <v>0</v>
      </c>
      <c r="K63">
        <f>ROUND(633.6/100,7)</f>
        <v>6.3360000000000003</v>
      </c>
      <c r="O63">
        <f t="shared" si="30"/>
        <v>235960.51</v>
      </c>
      <c r="P63">
        <f>SUMIF(SmtRes!AQ2:'SmtRes'!AQ2,"=1",SmtRes!DF2:'SmtRes'!DF2)</f>
        <v>0</v>
      </c>
      <c r="Q63">
        <f>SUMIF(SmtRes!AQ2:'SmtRes'!AQ2,"=1",SmtRes!DG2:'SmtRes'!DG2)</f>
        <v>0</v>
      </c>
      <c r="R63">
        <f>SUMIF(SmtRes!AQ2:'SmtRes'!AQ2,"=1",SmtRes!DH2:'SmtRes'!DH2)</f>
        <v>0</v>
      </c>
      <c r="S63">
        <f>SUMIF(SmtRes!AQ2:'SmtRes'!AQ2,"=1",SmtRes!DI2:'SmtRes'!DI2)</f>
        <v>235960.51</v>
      </c>
      <c r="T63">
        <f t="shared" si="31"/>
        <v>0</v>
      </c>
      <c r="U63">
        <f>SUMIF(SmtRes!AQ2:'SmtRes'!AQ2,"=1",SmtRes!CV2:'SmtRes'!CV2)</f>
        <v>616.80960000000005</v>
      </c>
      <c r="V63">
        <f>SUMIF(SmtRes!AQ2:'SmtRes'!AQ2,"=1",SmtRes!CW2:'SmtRes'!CW2)</f>
        <v>0</v>
      </c>
      <c r="W63">
        <f t="shared" si="32"/>
        <v>0</v>
      </c>
      <c r="X63">
        <f t="shared" si="33"/>
        <v>210004.85</v>
      </c>
      <c r="Y63">
        <f t="shared" si="33"/>
        <v>94384.2</v>
      </c>
      <c r="AA63">
        <v>65174513</v>
      </c>
      <c r="AB63">
        <f t="shared" si="34"/>
        <v>37241.2425</v>
      </c>
      <c r="AC63">
        <f>ROUND((0),6)</f>
        <v>0</v>
      </c>
      <c r="AD63">
        <f>ROUND((((0)-(0))+AE63),6)</f>
        <v>0</v>
      </c>
      <c r="AE63">
        <f>ROUND((0),6)</f>
        <v>0</v>
      </c>
      <c r="AF63">
        <f>ROUND((SUM(SmtRes!BT2:'SmtRes'!BT2)),6)</f>
        <v>37241.2425</v>
      </c>
      <c r="AG63">
        <f t="shared" si="35"/>
        <v>0</v>
      </c>
      <c r="AH63">
        <f>(SUM(SmtRes!BU2:'SmtRes'!BU2))</f>
        <v>97.350000000000009</v>
      </c>
      <c r="AI63">
        <f>(0)</f>
        <v>0</v>
      </c>
      <c r="AJ63">
        <f t="shared" si="36"/>
        <v>0</v>
      </c>
      <c r="AK63">
        <v>33855.675000000003</v>
      </c>
      <c r="AL63">
        <v>0</v>
      </c>
      <c r="AM63">
        <v>0</v>
      </c>
      <c r="AN63">
        <v>0</v>
      </c>
      <c r="AO63">
        <v>33855.675000000003</v>
      </c>
      <c r="AP63">
        <v>0</v>
      </c>
      <c r="AQ63">
        <v>88.5</v>
      </c>
      <c r="AR63">
        <v>0</v>
      </c>
      <c r="AS63">
        <v>0</v>
      </c>
      <c r="AT63">
        <v>89</v>
      </c>
      <c r="AU63">
        <v>40</v>
      </c>
      <c r="AV63">
        <v>1</v>
      </c>
      <c r="AW63">
        <v>1</v>
      </c>
      <c r="AZ63">
        <v>1</v>
      </c>
      <c r="BA63">
        <v>1</v>
      </c>
      <c r="BB63">
        <v>1</v>
      </c>
      <c r="BC63">
        <v>1</v>
      </c>
      <c r="BD63" t="s">
        <v>3</v>
      </c>
      <c r="BE63" t="s">
        <v>3</v>
      </c>
      <c r="BF63" t="s">
        <v>3</v>
      </c>
      <c r="BG63" t="s">
        <v>3</v>
      </c>
      <c r="BH63">
        <v>0</v>
      </c>
      <c r="BI63">
        <v>1</v>
      </c>
      <c r="BJ63" t="s">
        <v>91</v>
      </c>
      <c r="BM63">
        <v>1003</v>
      </c>
      <c r="BN63">
        <v>0</v>
      </c>
      <c r="BO63" t="s">
        <v>3</v>
      </c>
      <c r="BP63">
        <v>0</v>
      </c>
      <c r="BQ63">
        <v>2</v>
      </c>
      <c r="BR63">
        <v>0</v>
      </c>
      <c r="BS63">
        <v>1</v>
      </c>
      <c r="BT63">
        <v>1</v>
      </c>
      <c r="BU63">
        <v>1</v>
      </c>
      <c r="BV63">
        <v>1</v>
      </c>
      <c r="BW63">
        <v>1</v>
      </c>
      <c r="BX63">
        <v>1</v>
      </c>
      <c r="BY63" t="s">
        <v>3</v>
      </c>
      <c r="BZ63">
        <v>89</v>
      </c>
      <c r="CA63">
        <v>40</v>
      </c>
      <c r="CB63" t="s">
        <v>3</v>
      </c>
      <c r="CE63">
        <v>0</v>
      </c>
      <c r="CF63">
        <v>0</v>
      </c>
      <c r="CG63">
        <v>0</v>
      </c>
      <c r="CM63">
        <v>0</v>
      </c>
      <c r="CN63" t="s">
        <v>92</v>
      </c>
      <c r="CO63">
        <v>0</v>
      </c>
      <c r="CP63">
        <f t="shared" si="37"/>
        <v>235960.51</v>
      </c>
      <c r="CQ63">
        <f>SUMIF(SmtRes!AQ2:'SmtRes'!AQ2,"=1",SmtRes!AA2:'SmtRes'!AA2)</f>
        <v>0</v>
      </c>
      <c r="CR63">
        <f>SUMIF(SmtRes!AQ2:'SmtRes'!AQ2,"=1",SmtRes!AB2:'SmtRes'!AB2)</f>
        <v>0</v>
      </c>
      <c r="CS63">
        <f>SUMIF(SmtRes!AQ2:'SmtRes'!AQ2,"=1",SmtRes!AC2:'SmtRes'!AC2)</f>
        <v>0</v>
      </c>
      <c r="CT63">
        <f>SUMIF(SmtRes!AQ2:'SmtRes'!AQ2,"=1",SmtRes!AD2:'SmtRes'!AD2)</f>
        <v>382.55</v>
      </c>
      <c r="CU63">
        <f t="shared" si="38"/>
        <v>0</v>
      </c>
      <c r="CV63">
        <f>SUMIF(SmtRes!AQ2:'SmtRes'!AQ2,"=1",SmtRes!BU2:'SmtRes'!BU2)</f>
        <v>97.350000000000009</v>
      </c>
      <c r="CW63">
        <f>SUMIF(SmtRes!AQ2:'SmtRes'!AQ2,"=1",SmtRes!BV2:'SmtRes'!BV2)</f>
        <v>0</v>
      </c>
      <c r="CX63">
        <f t="shared" si="39"/>
        <v>0</v>
      </c>
      <c r="CY63">
        <f t="shared" si="40"/>
        <v>210004.85390000002</v>
      </c>
      <c r="CZ63">
        <f t="shared" si="41"/>
        <v>94384.203999999998</v>
      </c>
      <c r="DB63">
        <v>2</v>
      </c>
      <c r="DC63" t="s">
        <v>3</v>
      </c>
      <c r="DD63" t="s">
        <v>3</v>
      </c>
      <c r="DE63" t="s">
        <v>93</v>
      </c>
      <c r="DF63" t="s">
        <v>93</v>
      </c>
      <c r="DG63" t="s">
        <v>93</v>
      </c>
      <c r="DH63" t="s">
        <v>3</v>
      </c>
      <c r="DI63" t="s">
        <v>93</v>
      </c>
      <c r="DJ63" t="s">
        <v>93</v>
      </c>
      <c r="DK63" t="s">
        <v>3</v>
      </c>
      <c r="DL63" t="s">
        <v>3</v>
      </c>
      <c r="DM63" t="s">
        <v>3</v>
      </c>
      <c r="DN63">
        <v>0</v>
      </c>
      <c r="DO63">
        <v>0</v>
      </c>
      <c r="DP63">
        <v>1</v>
      </c>
      <c r="DQ63">
        <v>1</v>
      </c>
      <c r="DU63">
        <v>1007</v>
      </c>
      <c r="DV63" t="s">
        <v>77</v>
      </c>
      <c r="DW63" t="s">
        <v>77</v>
      </c>
      <c r="DX63">
        <v>100</v>
      </c>
      <c r="DZ63" t="s">
        <v>3</v>
      </c>
      <c r="EA63" t="s">
        <v>3</v>
      </c>
      <c r="EB63" t="s">
        <v>3</v>
      </c>
      <c r="EC63" t="s">
        <v>3</v>
      </c>
      <c r="EE63">
        <v>64850978</v>
      </c>
      <c r="EF63">
        <v>2</v>
      </c>
      <c r="EG63" t="s">
        <v>81</v>
      </c>
      <c r="EH63">
        <v>1</v>
      </c>
      <c r="EI63" t="s">
        <v>82</v>
      </c>
      <c r="EJ63">
        <v>1</v>
      </c>
      <c r="EK63">
        <v>1003</v>
      </c>
      <c r="EL63" t="s">
        <v>83</v>
      </c>
      <c r="EM63" t="s">
        <v>84</v>
      </c>
      <c r="EO63" t="s">
        <v>94</v>
      </c>
      <c r="EQ63">
        <v>0</v>
      </c>
      <c r="ER63">
        <v>0</v>
      </c>
      <c r="ES63">
        <v>0</v>
      </c>
      <c r="ET63">
        <v>0</v>
      </c>
      <c r="EU63">
        <v>0</v>
      </c>
      <c r="EV63">
        <v>0</v>
      </c>
      <c r="EW63">
        <v>88.5</v>
      </c>
      <c r="EX63">
        <v>0</v>
      </c>
      <c r="EY63">
        <v>0</v>
      </c>
      <c r="FQ63">
        <v>0</v>
      </c>
      <c r="FR63">
        <f t="shared" si="42"/>
        <v>0</v>
      </c>
      <c r="FS63">
        <v>0</v>
      </c>
      <c r="FX63">
        <v>89</v>
      </c>
      <c r="FY63">
        <v>40</v>
      </c>
      <c r="GA63" t="s">
        <v>3</v>
      </c>
      <c r="GD63">
        <v>1</v>
      </c>
      <c r="GF63">
        <v>-1929984938</v>
      </c>
      <c r="GG63">
        <v>2</v>
      </c>
      <c r="GH63">
        <v>1</v>
      </c>
      <c r="GI63">
        <v>-2</v>
      </c>
      <c r="GJ63">
        <v>0</v>
      </c>
      <c r="GK63">
        <v>0</v>
      </c>
      <c r="GL63">
        <f t="shared" si="43"/>
        <v>0</v>
      </c>
      <c r="GM63">
        <f t="shared" si="44"/>
        <v>540349.56000000006</v>
      </c>
      <c r="GN63">
        <f t="shared" si="45"/>
        <v>540349.56000000006</v>
      </c>
      <c r="GO63">
        <f t="shared" si="46"/>
        <v>0</v>
      </c>
      <c r="GP63">
        <f t="shared" si="47"/>
        <v>0</v>
      </c>
      <c r="GR63">
        <v>0</v>
      </c>
      <c r="GS63">
        <v>3</v>
      </c>
      <c r="GT63">
        <v>0</v>
      </c>
      <c r="GU63" t="s">
        <v>3</v>
      </c>
      <c r="GV63">
        <f t="shared" si="48"/>
        <v>0</v>
      </c>
      <c r="GW63">
        <v>1</v>
      </c>
      <c r="GX63">
        <f t="shared" si="49"/>
        <v>0</v>
      </c>
      <c r="HA63">
        <v>0</v>
      </c>
      <c r="HB63">
        <v>0</v>
      </c>
      <c r="HC63">
        <f t="shared" si="50"/>
        <v>0</v>
      </c>
      <c r="HE63" t="s">
        <v>3</v>
      </c>
      <c r="HF63" t="s">
        <v>3</v>
      </c>
      <c r="HM63" t="s">
        <v>3</v>
      </c>
      <c r="HN63" t="s">
        <v>86</v>
      </c>
      <c r="HO63" t="s">
        <v>87</v>
      </c>
      <c r="HP63" t="s">
        <v>83</v>
      </c>
      <c r="HQ63" t="s">
        <v>83</v>
      </c>
      <c r="IK63">
        <v>0</v>
      </c>
    </row>
    <row r="64" spans="1:245" x14ac:dyDescent="0.2">
      <c r="A64">
        <v>17</v>
      </c>
      <c r="B64">
        <v>1</v>
      </c>
      <c r="C64">
        <f>ROW(SmtRes!A4)</f>
        <v>4</v>
      </c>
      <c r="D64">
        <f>ROW(EtalonRes!A4)</f>
        <v>4</v>
      </c>
      <c r="E64" t="s">
        <v>95</v>
      </c>
      <c r="F64" t="s">
        <v>96</v>
      </c>
      <c r="G64" t="s">
        <v>97</v>
      </c>
      <c r="H64" t="s">
        <v>98</v>
      </c>
      <c r="I64">
        <f>ROUND(1320/100,7)</f>
        <v>13.2</v>
      </c>
      <c r="J64">
        <v>0</v>
      </c>
      <c r="K64">
        <f>ROUND(1320/100,7)</f>
        <v>13.2</v>
      </c>
      <c r="O64">
        <f t="shared" si="30"/>
        <v>214552.8</v>
      </c>
      <c r="P64">
        <f>SUMIF(SmtRes!AQ3:'SmtRes'!AQ4,"=1",SmtRes!DF3:'SmtRes'!DF4)</f>
        <v>0</v>
      </c>
      <c r="Q64">
        <f>SUMIF(SmtRes!AQ3:'SmtRes'!AQ4,"=1",SmtRes!DG3:'SmtRes'!DG4)</f>
        <v>0</v>
      </c>
      <c r="R64">
        <f>SUMIF(SmtRes!AQ3:'SmtRes'!AQ4,"=1",SmtRes!DH3:'SmtRes'!DH4)</f>
        <v>0</v>
      </c>
      <c r="S64">
        <f>SUMIF(SmtRes!AQ3:'SmtRes'!AQ4,"=1",SmtRes!DI3:'SmtRes'!DI4)</f>
        <v>214552.8</v>
      </c>
      <c r="T64">
        <f t="shared" si="31"/>
        <v>0</v>
      </c>
      <c r="U64">
        <f>SUMIF(SmtRes!AQ3:'SmtRes'!AQ4,"=1",SmtRes!CV3:'SmtRes'!CV4)</f>
        <v>528</v>
      </c>
      <c r="V64">
        <f>SUMIF(SmtRes!AQ3:'SmtRes'!AQ4,"=1",SmtRes!CW3:'SmtRes'!CW4)</f>
        <v>0</v>
      </c>
      <c r="W64">
        <f t="shared" si="32"/>
        <v>0</v>
      </c>
      <c r="X64">
        <f t="shared" si="33"/>
        <v>220989.38</v>
      </c>
      <c r="Y64">
        <f t="shared" si="33"/>
        <v>154478.01999999999</v>
      </c>
      <c r="AA64">
        <v>65174513</v>
      </c>
      <c r="AB64">
        <f t="shared" si="34"/>
        <v>16254</v>
      </c>
      <c r="AC64">
        <f>ROUND((0),6)</f>
        <v>0</v>
      </c>
      <c r="AD64">
        <f>ROUND((((0)-(0))+AE64),6)</f>
        <v>0</v>
      </c>
      <c r="AE64">
        <f>ROUND((0),6)</f>
        <v>0</v>
      </c>
      <c r="AF64">
        <f>ROUND((SUM(SmtRes!BT3:'SmtRes'!BT4)),6)</f>
        <v>16254</v>
      </c>
      <c r="AG64">
        <f t="shared" si="35"/>
        <v>0</v>
      </c>
      <c r="AH64">
        <f>(SUM(SmtRes!BU3:'SmtRes'!BU4))</f>
        <v>40</v>
      </c>
      <c r="AI64">
        <f>(0)</f>
        <v>0</v>
      </c>
      <c r="AJ64">
        <f t="shared" si="36"/>
        <v>0</v>
      </c>
      <c r="AK64">
        <v>16254</v>
      </c>
      <c r="AL64">
        <v>0</v>
      </c>
      <c r="AM64">
        <v>0</v>
      </c>
      <c r="AN64">
        <v>0</v>
      </c>
      <c r="AO64">
        <v>16254</v>
      </c>
      <c r="AP64">
        <v>0</v>
      </c>
      <c r="AQ64">
        <v>40</v>
      </c>
      <c r="AR64">
        <v>0</v>
      </c>
      <c r="AS64">
        <v>0</v>
      </c>
      <c r="AT64">
        <v>103</v>
      </c>
      <c r="AU64">
        <v>72</v>
      </c>
      <c r="AV64">
        <v>1</v>
      </c>
      <c r="AW64">
        <v>1</v>
      </c>
      <c r="AZ64">
        <v>1</v>
      </c>
      <c r="BA64">
        <v>1</v>
      </c>
      <c r="BB64">
        <v>1</v>
      </c>
      <c r="BC64">
        <v>1</v>
      </c>
      <c r="BD64" t="s">
        <v>3</v>
      </c>
      <c r="BE64" t="s">
        <v>3</v>
      </c>
      <c r="BF64" t="s">
        <v>3</v>
      </c>
      <c r="BG64" t="s">
        <v>3</v>
      </c>
      <c r="BH64">
        <v>0</v>
      </c>
      <c r="BI64">
        <v>1</v>
      </c>
      <c r="BJ64" t="s">
        <v>99</v>
      </c>
      <c r="BM64">
        <v>47001</v>
      </c>
      <c r="BN64">
        <v>0</v>
      </c>
      <c r="BO64" t="s">
        <v>3</v>
      </c>
      <c r="BP64">
        <v>0</v>
      </c>
      <c r="BQ64">
        <v>2</v>
      </c>
      <c r="BR64">
        <v>0</v>
      </c>
      <c r="BS64">
        <v>1</v>
      </c>
      <c r="BT64">
        <v>1</v>
      </c>
      <c r="BU64">
        <v>1</v>
      </c>
      <c r="BV64">
        <v>1</v>
      </c>
      <c r="BW64">
        <v>1</v>
      </c>
      <c r="BX64">
        <v>1</v>
      </c>
      <c r="BY64" t="s">
        <v>3</v>
      </c>
      <c r="BZ64">
        <v>103</v>
      </c>
      <c r="CA64">
        <v>72</v>
      </c>
      <c r="CB64" t="s">
        <v>3</v>
      </c>
      <c r="CE64">
        <v>0</v>
      </c>
      <c r="CF64">
        <v>0</v>
      </c>
      <c r="CG64">
        <v>0</v>
      </c>
      <c r="CM64">
        <v>0</v>
      </c>
      <c r="CN64" t="s">
        <v>3</v>
      </c>
      <c r="CO64">
        <v>0</v>
      </c>
      <c r="CP64">
        <f t="shared" si="37"/>
        <v>214552.8</v>
      </c>
      <c r="CQ64">
        <f>SUMIF(SmtRes!AQ3:'SmtRes'!AQ4,"=1",SmtRes!AA3:'SmtRes'!AA4)</f>
        <v>0</v>
      </c>
      <c r="CR64">
        <f>SUMIF(SmtRes!AQ3:'SmtRes'!AQ4,"=1",SmtRes!AB3:'SmtRes'!AB4)</f>
        <v>0</v>
      </c>
      <c r="CS64">
        <f>SUMIF(SmtRes!AQ3:'SmtRes'!AQ4,"=1",SmtRes!AC3:'SmtRes'!AC4)</f>
        <v>0</v>
      </c>
      <c r="CT64">
        <f>SUMIF(SmtRes!AQ3:'SmtRes'!AQ4,"=1",SmtRes!AD3:'SmtRes'!AD4)</f>
        <v>406.35</v>
      </c>
      <c r="CU64">
        <f t="shared" si="38"/>
        <v>0</v>
      </c>
      <c r="CV64">
        <f>SUMIF(SmtRes!AQ3:'SmtRes'!AQ4,"=1",SmtRes!BU3:'SmtRes'!BU4)</f>
        <v>40</v>
      </c>
      <c r="CW64">
        <f>SUMIF(SmtRes!AQ3:'SmtRes'!AQ4,"=1",SmtRes!BV3:'SmtRes'!BV4)</f>
        <v>0</v>
      </c>
      <c r="CX64">
        <f t="shared" si="39"/>
        <v>0</v>
      </c>
      <c r="CY64">
        <f t="shared" si="40"/>
        <v>220989.38399999999</v>
      </c>
      <c r="CZ64">
        <f t="shared" si="41"/>
        <v>154478.016</v>
      </c>
      <c r="DC64" t="s">
        <v>3</v>
      </c>
      <c r="DD64" t="s">
        <v>3</v>
      </c>
      <c r="DE64" t="s">
        <v>3</v>
      </c>
      <c r="DF64" t="s">
        <v>3</v>
      </c>
      <c r="DG64" t="s">
        <v>3</v>
      </c>
      <c r="DH64" t="s">
        <v>3</v>
      </c>
      <c r="DI64" t="s">
        <v>3</v>
      </c>
      <c r="DJ64" t="s">
        <v>3</v>
      </c>
      <c r="DK64" t="s">
        <v>3</v>
      </c>
      <c r="DL64" t="s">
        <v>3</v>
      </c>
      <c r="DM64" t="s">
        <v>3</v>
      </c>
      <c r="DN64">
        <v>0</v>
      </c>
      <c r="DO64">
        <v>0</v>
      </c>
      <c r="DP64">
        <v>1</v>
      </c>
      <c r="DQ64">
        <v>1</v>
      </c>
      <c r="DU64">
        <v>1005</v>
      </c>
      <c r="DV64" t="s">
        <v>98</v>
      </c>
      <c r="DW64" t="s">
        <v>98</v>
      </c>
      <c r="DX64">
        <v>100</v>
      </c>
      <c r="DZ64" t="s">
        <v>3</v>
      </c>
      <c r="EA64" t="s">
        <v>3</v>
      </c>
      <c r="EB64" t="s">
        <v>3</v>
      </c>
      <c r="EC64" t="s">
        <v>3</v>
      </c>
      <c r="EE64">
        <v>64851070</v>
      </c>
      <c r="EF64">
        <v>2</v>
      </c>
      <c r="EG64" t="s">
        <v>81</v>
      </c>
      <c r="EH64">
        <v>41</v>
      </c>
      <c r="EI64" t="s">
        <v>100</v>
      </c>
      <c r="EJ64">
        <v>1</v>
      </c>
      <c r="EK64">
        <v>47001</v>
      </c>
      <c r="EL64" t="s">
        <v>100</v>
      </c>
      <c r="EM64" t="s">
        <v>101</v>
      </c>
      <c r="EO64" t="s">
        <v>3</v>
      </c>
      <c r="EQ64">
        <v>0</v>
      </c>
      <c r="ER64">
        <v>0</v>
      </c>
      <c r="ES64">
        <v>0</v>
      </c>
      <c r="ET64">
        <v>0</v>
      </c>
      <c r="EU64">
        <v>0</v>
      </c>
      <c r="EV64">
        <v>0</v>
      </c>
      <c r="EW64">
        <v>40</v>
      </c>
      <c r="EX64">
        <v>0</v>
      </c>
      <c r="EY64">
        <v>0</v>
      </c>
      <c r="FQ64">
        <v>0</v>
      </c>
      <c r="FR64">
        <f t="shared" si="42"/>
        <v>0</v>
      </c>
      <c r="FS64">
        <v>0</v>
      </c>
      <c r="FX64">
        <v>103</v>
      </c>
      <c r="FY64">
        <v>72</v>
      </c>
      <c r="GA64" t="s">
        <v>3</v>
      </c>
      <c r="GD64">
        <v>1</v>
      </c>
      <c r="GF64">
        <v>-296647864</v>
      </c>
      <c r="GG64">
        <v>2</v>
      </c>
      <c r="GH64">
        <v>1</v>
      </c>
      <c r="GI64">
        <v>-2</v>
      </c>
      <c r="GJ64">
        <v>0</v>
      </c>
      <c r="GK64">
        <v>0</v>
      </c>
      <c r="GL64">
        <f t="shared" si="43"/>
        <v>0</v>
      </c>
      <c r="GM64">
        <f t="shared" si="44"/>
        <v>590020.19999999995</v>
      </c>
      <c r="GN64">
        <f t="shared" si="45"/>
        <v>590020.19999999995</v>
      </c>
      <c r="GO64">
        <f t="shared" si="46"/>
        <v>0</v>
      </c>
      <c r="GP64">
        <f t="shared" si="47"/>
        <v>0</v>
      </c>
      <c r="GR64">
        <v>0</v>
      </c>
      <c r="GS64">
        <v>0</v>
      </c>
      <c r="GT64">
        <v>0</v>
      </c>
      <c r="GU64" t="s">
        <v>3</v>
      </c>
      <c r="GV64">
        <f t="shared" si="48"/>
        <v>0</v>
      </c>
      <c r="GW64">
        <v>1</v>
      </c>
      <c r="GX64">
        <f t="shared" si="49"/>
        <v>0</v>
      </c>
      <c r="HA64">
        <v>0</v>
      </c>
      <c r="HB64">
        <v>0</v>
      </c>
      <c r="HC64">
        <f t="shared" si="50"/>
        <v>0</v>
      </c>
      <c r="HE64" t="s">
        <v>3</v>
      </c>
      <c r="HF64" t="s">
        <v>3</v>
      </c>
      <c r="HM64" t="s">
        <v>3</v>
      </c>
      <c r="HN64" t="s">
        <v>102</v>
      </c>
      <c r="HO64" t="s">
        <v>103</v>
      </c>
      <c r="HP64" t="s">
        <v>100</v>
      </c>
      <c r="HQ64" t="s">
        <v>100</v>
      </c>
      <c r="IK64">
        <v>0</v>
      </c>
    </row>
    <row r="65" spans="1:245" x14ac:dyDescent="0.2">
      <c r="A65">
        <v>18</v>
      </c>
      <c r="B65">
        <v>1</v>
      </c>
      <c r="C65">
        <v>4</v>
      </c>
      <c r="E65" t="s">
        <v>104</v>
      </c>
      <c r="F65" t="s">
        <v>105</v>
      </c>
      <c r="G65" t="s">
        <v>106</v>
      </c>
      <c r="H65" t="s">
        <v>107</v>
      </c>
      <c r="I65">
        <f>I64*J65</f>
        <v>198</v>
      </c>
      <c r="J65">
        <v>15</v>
      </c>
      <c r="K65">
        <v>15</v>
      </c>
      <c r="O65">
        <f t="shared" si="30"/>
        <v>229297.86</v>
      </c>
      <c r="P65">
        <f>ROUND(CQ65*I65,2)</f>
        <v>229297.86</v>
      </c>
      <c r="Q65">
        <f>ROUND(CR65*I65,2)</f>
        <v>0</v>
      </c>
      <c r="R65">
        <f>ROUND(CS65*I65,2)</f>
        <v>0</v>
      </c>
      <c r="S65">
        <f>ROUND(CT65*I65,2)</f>
        <v>0</v>
      </c>
      <c r="T65">
        <f t="shared" si="31"/>
        <v>0</v>
      </c>
      <c r="U65">
        <f>ROUND(CV65*I65,7)</f>
        <v>0</v>
      </c>
      <c r="V65">
        <f>ROUND(CW65*I65,7)</f>
        <v>0</v>
      </c>
      <c r="W65">
        <f t="shared" si="32"/>
        <v>0</v>
      </c>
      <c r="X65">
        <f t="shared" si="33"/>
        <v>0</v>
      </c>
      <c r="Y65">
        <f t="shared" si="33"/>
        <v>0</v>
      </c>
      <c r="AA65">
        <v>65174513</v>
      </c>
      <c r="AB65">
        <f t="shared" si="34"/>
        <v>1062.45</v>
      </c>
      <c r="AC65">
        <f>ROUND((ES65),6)</f>
        <v>1062.45</v>
      </c>
      <c r="AD65">
        <f>ROUND((((ET65)-(EU65))+AE65),6)</f>
        <v>0</v>
      </c>
      <c r="AE65">
        <f>ROUND((EU65),6)</f>
        <v>0</v>
      </c>
      <c r="AF65">
        <f>ROUND((EV65),6)</f>
        <v>0</v>
      </c>
      <c r="AG65">
        <f t="shared" si="35"/>
        <v>0</v>
      </c>
      <c r="AH65">
        <f>(EW65)</f>
        <v>0</v>
      </c>
      <c r="AI65">
        <f>(EX65)</f>
        <v>0</v>
      </c>
      <c r="AJ65">
        <f t="shared" si="36"/>
        <v>0</v>
      </c>
      <c r="AK65">
        <v>1062.45</v>
      </c>
      <c r="AL65">
        <v>1062.45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103</v>
      </c>
      <c r="AU65">
        <v>72</v>
      </c>
      <c r="AV65">
        <v>1</v>
      </c>
      <c r="AW65">
        <v>1</v>
      </c>
      <c r="AZ65">
        <v>1</v>
      </c>
      <c r="BA65">
        <v>1</v>
      </c>
      <c r="BB65">
        <v>1</v>
      </c>
      <c r="BC65">
        <v>1.0900000000000001</v>
      </c>
      <c r="BD65" t="s">
        <v>3</v>
      </c>
      <c r="BE65" t="s">
        <v>3</v>
      </c>
      <c r="BF65" t="s">
        <v>3</v>
      </c>
      <c r="BG65" t="s">
        <v>3</v>
      </c>
      <c r="BH65">
        <v>3</v>
      </c>
      <c r="BI65">
        <v>1</v>
      </c>
      <c r="BJ65" t="s">
        <v>108</v>
      </c>
      <c r="BM65">
        <v>47001</v>
      </c>
      <c r="BN65">
        <v>0</v>
      </c>
      <c r="BO65" t="s">
        <v>105</v>
      </c>
      <c r="BP65">
        <v>1</v>
      </c>
      <c r="BQ65">
        <v>2</v>
      </c>
      <c r="BR65">
        <v>0</v>
      </c>
      <c r="BS65">
        <v>1</v>
      </c>
      <c r="BT65">
        <v>1</v>
      </c>
      <c r="BU65">
        <v>1</v>
      </c>
      <c r="BV65">
        <v>1</v>
      </c>
      <c r="BW65">
        <v>1</v>
      </c>
      <c r="BX65">
        <v>1</v>
      </c>
      <c r="BY65" t="s">
        <v>3</v>
      </c>
      <c r="BZ65">
        <v>103</v>
      </c>
      <c r="CA65">
        <v>72</v>
      </c>
      <c r="CB65" t="s">
        <v>3</v>
      </c>
      <c r="CE65">
        <v>0</v>
      </c>
      <c r="CF65">
        <v>0</v>
      </c>
      <c r="CG65">
        <v>0</v>
      </c>
      <c r="CM65">
        <v>0</v>
      </c>
      <c r="CN65" t="s">
        <v>387</v>
      </c>
      <c r="CO65">
        <v>0</v>
      </c>
      <c r="CP65">
        <f t="shared" si="37"/>
        <v>229297.86</v>
      </c>
      <c r="CQ65">
        <f>ROUND(AL65*BC65,2)</f>
        <v>1158.07</v>
      </c>
      <c r="CR65">
        <f>ROUND(AM65*BB65,2)</f>
        <v>0</v>
      </c>
      <c r="CS65">
        <f>ROUND(AN65*BS65,2)</f>
        <v>0</v>
      </c>
      <c r="CT65">
        <f>ROUND(AO65*BA65,2)</f>
        <v>0</v>
      </c>
      <c r="CU65">
        <f t="shared" si="38"/>
        <v>0</v>
      </c>
      <c r="CV65">
        <f>AH65</f>
        <v>0</v>
      </c>
      <c r="CW65">
        <f>AI65</f>
        <v>0</v>
      </c>
      <c r="CX65">
        <f t="shared" si="39"/>
        <v>0</v>
      </c>
      <c r="CY65">
        <f t="shared" si="40"/>
        <v>0</v>
      </c>
      <c r="CZ65">
        <f t="shared" si="41"/>
        <v>0</v>
      </c>
      <c r="DC65" t="s">
        <v>3</v>
      </c>
      <c r="DD65" t="s">
        <v>3</v>
      </c>
      <c r="DE65" t="s">
        <v>3</v>
      </c>
      <c r="DF65" t="s">
        <v>3</v>
      </c>
      <c r="DG65" t="s">
        <v>3</v>
      </c>
      <c r="DH65" t="s">
        <v>3</v>
      </c>
      <c r="DI65" t="s">
        <v>3</v>
      </c>
      <c r="DJ65" t="s">
        <v>3</v>
      </c>
      <c r="DK65" t="s">
        <v>3</v>
      </c>
      <c r="DL65" t="s">
        <v>3</v>
      </c>
      <c r="DM65" t="s">
        <v>3</v>
      </c>
      <c r="DN65">
        <v>0</v>
      </c>
      <c r="DO65">
        <v>0</v>
      </c>
      <c r="DP65">
        <v>1</v>
      </c>
      <c r="DQ65">
        <v>1</v>
      </c>
      <c r="DU65">
        <v>1007</v>
      </c>
      <c r="DV65" t="s">
        <v>107</v>
      </c>
      <c r="DW65" t="s">
        <v>107</v>
      </c>
      <c r="DX65">
        <v>1</v>
      </c>
      <c r="DZ65" t="s">
        <v>3</v>
      </c>
      <c r="EA65" t="s">
        <v>3</v>
      </c>
      <c r="EB65" t="s">
        <v>3</v>
      </c>
      <c r="EC65" t="s">
        <v>3</v>
      </c>
      <c r="EE65">
        <v>64851070</v>
      </c>
      <c r="EF65">
        <v>2</v>
      </c>
      <c r="EG65" t="s">
        <v>81</v>
      </c>
      <c r="EH65">
        <v>41</v>
      </c>
      <c r="EI65" t="s">
        <v>100</v>
      </c>
      <c r="EJ65">
        <v>1</v>
      </c>
      <c r="EK65">
        <v>47001</v>
      </c>
      <c r="EL65" t="s">
        <v>100</v>
      </c>
      <c r="EM65" t="s">
        <v>101</v>
      </c>
      <c r="EO65" t="s">
        <v>109</v>
      </c>
      <c r="EQ65">
        <v>0</v>
      </c>
      <c r="ER65">
        <v>1062.45</v>
      </c>
      <c r="ES65">
        <v>1062.45</v>
      </c>
      <c r="ET65">
        <v>0</v>
      </c>
      <c r="EU65">
        <v>0</v>
      </c>
      <c r="EV65">
        <v>0</v>
      </c>
      <c r="EW65">
        <v>0</v>
      </c>
      <c r="EX65">
        <v>0</v>
      </c>
      <c r="FQ65">
        <v>0</v>
      </c>
      <c r="FR65">
        <f t="shared" si="42"/>
        <v>0</v>
      </c>
      <c r="FS65">
        <v>0</v>
      </c>
      <c r="FX65">
        <v>103</v>
      </c>
      <c r="FY65">
        <v>72</v>
      </c>
      <c r="GA65" t="s">
        <v>3</v>
      </c>
      <c r="GD65">
        <v>1</v>
      </c>
      <c r="GF65">
        <v>626620459</v>
      </c>
      <c r="GG65">
        <v>2</v>
      </c>
      <c r="GH65">
        <v>1</v>
      </c>
      <c r="GI65">
        <v>2</v>
      </c>
      <c r="GJ65">
        <v>0</v>
      </c>
      <c r="GK65">
        <v>0</v>
      </c>
      <c r="GL65">
        <f t="shared" si="43"/>
        <v>0</v>
      </c>
      <c r="GM65">
        <f t="shared" si="44"/>
        <v>229297.86</v>
      </c>
      <c r="GN65">
        <f t="shared" si="45"/>
        <v>229297.86</v>
      </c>
      <c r="GO65">
        <f t="shared" si="46"/>
        <v>0</v>
      </c>
      <c r="GP65">
        <f t="shared" si="47"/>
        <v>0</v>
      </c>
      <c r="GR65">
        <v>0</v>
      </c>
      <c r="GS65">
        <v>0</v>
      </c>
      <c r="GT65">
        <v>0</v>
      </c>
      <c r="GU65" t="s">
        <v>3</v>
      </c>
      <c r="GV65">
        <f t="shared" si="48"/>
        <v>0</v>
      </c>
      <c r="GW65">
        <v>1</v>
      </c>
      <c r="GX65">
        <f t="shared" si="49"/>
        <v>0</v>
      </c>
      <c r="HA65">
        <v>0</v>
      </c>
      <c r="HB65">
        <v>0</v>
      </c>
      <c r="HC65">
        <f t="shared" si="50"/>
        <v>0</v>
      </c>
      <c r="HE65" t="s">
        <v>3</v>
      </c>
      <c r="HF65" t="s">
        <v>3</v>
      </c>
      <c r="HM65" t="s">
        <v>3</v>
      </c>
      <c r="HN65" t="s">
        <v>102</v>
      </c>
      <c r="HO65" t="s">
        <v>103</v>
      </c>
      <c r="HP65" t="s">
        <v>100</v>
      </c>
      <c r="HQ65" t="s">
        <v>100</v>
      </c>
      <c r="IK65">
        <v>0</v>
      </c>
    </row>
    <row r="66" spans="1:245" x14ac:dyDescent="0.2">
      <c r="A66">
        <v>17</v>
      </c>
      <c r="B66">
        <v>1</v>
      </c>
      <c r="C66">
        <f>ROW(SmtRes!A10)</f>
        <v>10</v>
      </c>
      <c r="D66">
        <f>ROW(EtalonRes!A10)</f>
        <v>10</v>
      </c>
      <c r="E66" t="s">
        <v>110</v>
      </c>
      <c r="F66" t="s">
        <v>111</v>
      </c>
      <c r="G66" t="s">
        <v>112</v>
      </c>
      <c r="H66" t="s">
        <v>98</v>
      </c>
      <c r="I66">
        <f>ROUND(1320/100,7)</f>
        <v>13.2</v>
      </c>
      <c r="J66">
        <v>0</v>
      </c>
      <c r="K66">
        <f>ROUND(1320/100,7)</f>
        <v>13.2</v>
      </c>
      <c r="O66">
        <f t="shared" si="30"/>
        <v>67222.61</v>
      </c>
      <c r="P66">
        <f>SUMIF(SmtRes!AQ5:'SmtRes'!AQ10,"=1",SmtRes!DF5:'SmtRes'!DF10)</f>
        <v>6598.68</v>
      </c>
      <c r="Q66">
        <f>SUMIF(SmtRes!AQ5:'SmtRes'!AQ10,"=1",SmtRes!DG5:'SmtRes'!DG10)</f>
        <v>22017.31</v>
      </c>
      <c r="R66">
        <f>SUMIF(SmtRes!AQ5:'SmtRes'!AQ10,"=1",SmtRes!DH5:'SmtRes'!DH10)</f>
        <v>8417.84</v>
      </c>
      <c r="S66">
        <f>SUMIF(SmtRes!AQ5:'SmtRes'!AQ10,"=1",SmtRes!DI5:'SmtRes'!DI10)</f>
        <v>30188.78</v>
      </c>
      <c r="T66">
        <f t="shared" si="31"/>
        <v>0</v>
      </c>
      <c r="U66">
        <f>SUMIF(SmtRes!AQ5:'SmtRes'!AQ10,"=1",SmtRes!CV5:'SmtRes'!CV10)</f>
        <v>74.843999999999994</v>
      </c>
      <c r="V66">
        <f>SUMIF(SmtRes!AQ5:'SmtRes'!AQ10,"=1",SmtRes!CW5:'SmtRes'!CW10)</f>
        <v>17.16</v>
      </c>
      <c r="W66">
        <f t="shared" si="32"/>
        <v>0</v>
      </c>
      <c r="X66">
        <f t="shared" si="33"/>
        <v>39764.82</v>
      </c>
      <c r="Y66">
        <f t="shared" si="33"/>
        <v>27796.77</v>
      </c>
      <c r="AA66">
        <v>65174513</v>
      </c>
      <c r="AB66">
        <f t="shared" si="34"/>
        <v>4000.2107999999998</v>
      </c>
      <c r="AC66">
        <f>ROUND((SUM(SmtRes!BQ5:'SmtRes'!BQ10)),6)</f>
        <v>357.1</v>
      </c>
      <c r="AD66">
        <f>ROUND((((SUM(SmtRes!BR5:'SmtRes'!BR10))-(SUM(SmtRes!BS5:'SmtRes'!BS10)))+AE66),6)</f>
        <v>1356.0820000000001</v>
      </c>
      <c r="AE66">
        <f>ROUND((SUM(SmtRes!BS5:'SmtRes'!BS10)),6)</f>
        <v>637.71500000000003</v>
      </c>
      <c r="AF66">
        <f>ROUND((SUM(SmtRes!BT5:'SmtRes'!BT10)),6)</f>
        <v>2287.0288</v>
      </c>
      <c r="AG66">
        <f t="shared" si="35"/>
        <v>0</v>
      </c>
      <c r="AH66">
        <f>(SUM(SmtRes!BU5:'SmtRes'!BU10))</f>
        <v>5.67</v>
      </c>
      <c r="AI66">
        <f>(SUM(SmtRes!BV5:'SmtRes'!BV10))</f>
        <v>1.3</v>
      </c>
      <c r="AJ66">
        <f t="shared" si="36"/>
        <v>0</v>
      </c>
      <c r="AK66">
        <v>4637.9258</v>
      </c>
      <c r="AL66">
        <v>357.1</v>
      </c>
      <c r="AM66">
        <v>1356.0820000000001</v>
      </c>
      <c r="AN66">
        <v>637.71500000000003</v>
      </c>
      <c r="AO66">
        <v>2287.0288</v>
      </c>
      <c r="AP66">
        <v>0</v>
      </c>
      <c r="AQ66">
        <v>5.67</v>
      </c>
      <c r="AR66">
        <v>1.3</v>
      </c>
      <c r="AS66">
        <v>0</v>
      </c>
      <c r="AT66">
        <v>103</v>
      </c>
      <c r="AU66">
        <v>72</v>
      </c>
      <c r="AV66">
        <v>1</v>
      </c>
      <c r="AW66">
        <v>1</v>
      </c>
      <c r="AZ66">
        <v>1</v>
      </c>
      <c r="BA66">
        <v>1</v>
      </c>
      <c r="BB66">
        <v>1</v>
      </c>
      <c r="BC66">
        <v>1</v>
      </c>
      <c r="BD66" t="s">
        <v>3</v>
      </c>
      <c r="BE66" t="s">
        <v>3</v>
      </c>
      <c r="BF66" t="s">
        <v>3</v>
      </c>
      <c r="BG66" t="s">
        <v>3</v>
      </c>
      <c r="BH66">
        <v>0</v>
      </c>
      <c r="BI66">
        <v>1</v>
      </c>
      <c r="BJ66" t="s">
        <v>113</v>
      </c>
      <c r="BM66">
        <v>47001</v>
      </c>
      <c r="BN66">
        <v>0</v>
      </c>
      <c r="BO66" t="s">
        <v>3</v>
      </c>
      <c r="BP66">
        <v>0</v>
      </c>
      <c r="BQ66">
        <v>2</v>
      </c>
      <c r="BR66">
        <v>0</v>
      </c>
      <c r="BS66">
        <v>1</v>
      </c>
      <c r="BT66">
        <v>1</v>
      </c>
      <c r="BU66">
        <v>1</v>
      </c>
      <c r="BV66">
        <v>1</v>
      </c>
      <c r="BW66">
        <v>1</v>
      </c>
      <c r="BX66">
        <v>1</v>
      </c>
      <c r="BY66" t="s">
        <v>3</v>
      </c>
      <c r="BZ66">
        <v>103</v>
      </c>
      <c r="CA66">
        <v>72</v>
      </c>
      <c r="CB66" t="s">
        <v>3</v>
      </c>
      <c r="CE66">
        <v>0</v>
      </c>
      <c r="CF66">
        <v>0</v>
      </c>
      <c r="CG66">
        <v>0</v>
      </c>
      <c r="CM66">
        <v>0</v>
      </c>
      <c r="CN66" t="s">
        <v>3</v>
      </c>
      <c r="CO66">
        <v>0</v>
      </c>
      <c r="CP66">
        <f t="shared" si="37"/>
        <v>67222.61</v>
      </c>
      <c r="CQ66">
        <f>SUMIF(SmtRes!AQ5:'SmtRes'!AQ10,"=1",SmtRes!AA5:'SmtRes'!AA10)</f>
        <v>49.99</v>
      </c>
      <c r="CR66">
        <f>SUMIF(SmtRes!AQ5:'SmtRes'!AQ10,"=1",SmtRes!AB5:'SmtRes'!AB10)</f>
        <v>1283.06</v>
      </c>
      <c r="CS66">
        <f>SUMIF(SmtRes!AQ5:'SmtRes'!AQ10,"=1",SmtRes!AC5:'SmtRes'!AC10)</f>
        <v>490.55</v>
      </c>
      <c r="CT66">
        <f>SUMIF(SmtRes!AQ5:'SmtRes'!AQ10,"=1",SmtRes!AD5:'SmtRes'!AD10)</f>
        <v>834.67</v>
      </c>
      <c r="CU66">
        <f t="shared" si="38"/>
        <v>0</v>
      </c>
      <c r="CV66">
        <f>SUMIF(SmtRes!AQ5:'SmtRes'!AQ10,"=1",SmtRes!BU5:'SmtRes'!BU10)</f>
        <v>5.67</v>
      </c>
      <c r="CW66">
        <f>SUMIF(SmtRes!AQ5:'SmtRes'!AQ10,"=1",SmtRes!BV5:'SmtRes'!BV10)</f>
        <v>1.3</v>
      </c>
      <c r="CX66">
        <f t="shared" si="39"/>
        <v>0</v>
      </c>
      <c r="CY66">
        <f t="shared" si="40"/>
        <v>39764.818599999991</v>
      </c>
      <c r="CZ66">
        <f t="shared" si="41"/>
        <v>27796.766399999997</v>
      </c>
      <c r="DC66" t="s">
        <v>3</v>
      </c>
      <c r="DD66" t="s">
        <v>3</v>
      </c>
      <c r="DE66" t="s">
        <v>3</v>
      </c>
      <c r="DF66" t="s">
        <v>3</v>
      </c>
      <c r="DG66" t="s">
        <v>3</v>
      </c>
      <c r="DH66" t="s">
        <v>3</v>
      </c>
      <c r="DI66" t="s">
        <v>3</v>
      </c>
      <c r="DJ66" t="s">
        <v>3</v>
      </c>
      <c r="DK66" t="s">
        <v>3</v>
      </c>
      <c r="DL66" t="s">
        <v>3</v>
      </c>
      <c r="DM66" t="s">
        <v>3</v>
      </c>
      <c r="DN66">
        <v>0</v>
      </c>
      <c r="DO66">
        <v>0</v>
      </c>
      <c r="DP66">
        <v>1</v>
      </c>
      <c r="DQ66">
        <v>1</v>
      </c>
      <c r="DU66">
        <v>1005</v>
      </c>
      <c r="DV66" t="s">
        <v>98</v>
      </c>
      <c r="DW66" t="s">
        <v>98</v>
      </c>
      <c r="DX66">
        <v>100</v>
      </c>
      <c r="DZ66" t="s">
        <v>3</v>
      </c>
      <c r="EA66" t="s">
        <v>3</v>
      </c>
      <c r="EB66" t="s">
        <v>3</v>
      </c>
      <c r="EC66" t="s">
        <v>3</v>
      </c>
      <c r="EE66">
        <v>64851070</v>
      </c>
      <c r="EF66">
        <v>2</v>
      </c>
      <c r="EG66" t="s">
        <v>81</v>
      </c>
      <c r="EH66">
        <v>41</v>
      </c>
      <c r="EI66" t="s">
        <v>100</v>
      </c>
      <c r="EJ66">
        <v>1</v>
      </c>
      <c r="EK66">
        <v>47001</v>
      </c>
      <c r="EL66" t="s">
        <v>100</v>
      </c>
      <c r="EM66" t="s">
        <v>101</v>
      </c>
      <c r="EO66" t="s">
        <v>3</v>
      </c>
      <c r="EQ66">
        <v>0</v>
      </c>
      <c r="ER66">
        <v>0</v>
      </c>
      <c r="ES66">
        <v>0</v>
      </c>
      <c r="ET66">
        <v>0</v>
      </c>
      <c r="EU66">
        <v>0</v>
      </c>
      <c r="EV66">
        <v>0</v>
      </c>
      <c r="EW66">
        <v>5.67</v>
      </c>
      <c r="EX66">
        <v>1.3</v>
      </c>
      <c r="EY66">
        <v>0</v>
      </c>
      <c r="FQ66">
        <v>0</v>
      </c>
      <c r="FR66">
        <f t="shared" si="42"/>
        <v>0</v>
      </c>
      <c r="FS66">
        <v>0</v>
      </c>
      <c r="FX66">
        <v>103</v>
      </c>
      <c r="FY66">
        <v>72</v>
      </c>
      <c r="GA66" t="s">
        <v>3</v>
      </c>
      <c r="GD66">
        <v>1</v>
      </c>
      <c r="GF66">
        <v>1607973780</v>
      </c>
      <c r="GG66">
        <v>2</v>
      </c>
      <c r="GH66">
        <v>1</v>
      </c>
      <c r="GI66">
        <v>-2</v>
      </c>
      <c r="GJ66">
        <v>0</v>
      </c>
      <c r="GK66">
        <v>0</v>
      </c>
      <c r="GL66">
        <f t="shared" si="43"/>
        <v>0</v>
      </c>
      <c r="GM66">
        <f t="shared" si="44"/>
        <v>134784.20000000001</v>
      </c>
      <c r="GN66">
        <f t="shared" si="45"/>
        <v>134784.20000000001</v>
      </c>
      <c r="GO66">
        <f t="shared" si="46"/>
        <v>0</v>
      </c>
      <c r="GP66">
        <f t="shared" si="47"/>
        <v>0</v>
      </c>
      <c r="GR66">
        <v>0</v>
      </c>
      <c r="GS66">
        <v>0</v>
      </c>
      <c r="GT66">
        <v>0</v>
      </c>
      <c r="GU66" t="s">
        <v>3</v>
      </c>
      <c r="GV66">
        <f t="shared" si="48"/>
        <v>0</v>
      </c>
      <c r="GW66">
        <v>1</v>
      </c>
      <c r="GX66">
        <f t="shared" si="49"/>
        <v>0</v>
      </c>
      <c r="HA66">
        <v>0</v>
      </c>
      <c r="HB66">
        <v>0</v>
      </c>
      <c r="HC66">
        <f t="shared" si="50"/>
        <v>0</v>
      </c>
      <c r="HE66" t="s">
        <v>3</v>
      </c>
      <c r="HF66" t="s">
        <v>3</v>
      </c>
      <c r="HM66" t="s">
        <v>3</v>
      </c>
      <c r="HN66" t="s">
        <v>102</v>
      </c>
      <c r="HO66" t="s">
        <v>103</v>
      </c>
      <c r="HP66" t="s">
        <v>100</v>
      </c>
      <c r="HQ66" t="s">
        <v>100</v>
      </c>
      <c r="IK66">
        <v>0</v>
      </c>
    </row>
    <row r="67" spans="1:245" x14ac:dyDescent="0.2">
      <c r="A67">
        <v>18</v>
      </c>
      <c r="B67">
        <v>1</v>
      </c>
      <c r="C67">
        <v>10</v>
      </c>
      <c r="E67" t="s">
        <v>114</v>
      </c>
      <c r="F67" t="s">
        <v>115</v>
      </c>
      <c r="G67" t="s">
        <v>116</v>
      </c>
      <c r="H67" t="s">
        <v>117</v>
      </c>
      <c r="I67">
        <f>I66*J67</f>
        <v>26.4</v>
      </c>
      <c r="J67">
        <v>2</v>
      </c>
      <c r="K67">
        <v>2</v>
      </c>
      <c r="O67">
        <f t="shared" si="30"/>
        <v>8029.3</v>
      </c>
      <c r="P67">
        <f>ROUND(CQ67*I67,2)</f>
        <v>8029.3</v>
      </c>
      <c r="Q67">
        <f>ROUND(CR67*I67,2)</f>
        <v>0</v>
      </c>
      <c r="R67">
        <f>ROUND(CS67*I67,2)</f>
        <v>0</v>
      </c>
      <c r="S67">
        <f>ROUND(CT67*I67,2)</f>
        <v>0</v>
      </c>
      <c r="T67">
        <f t="shared" si="31"/>
        <v>0</v>
      </c>
      <c r="U67">
        <f>ROUND(CV67*I67,7)</f>
        <v>0</v>
      </c>
      <c r="V67">
        <f>ROUND(CW67*I67,7)</f>
        <v>0</v>
      </c>
      <c r="W67">
        <f t="shared" si="32"/>
        <v>0</v>
      </c>
      <c r="X67">
        <f t="shared" si="33"/>
        <v>0</v>
      </c>
      <c r="Y67">
        <f t="shared" si="33"/>
        <v>0</v>
      </c>
      <c r="AA67">
        <v>65174513</v>
      </c>
      <c r="AB67">
        <f t="shared" si="34"/>
        <v>271.55</v>
      </c>
      <c r="AC67">
        <f>ROUND((ES67),6)</f>
        <v>271.55</v>
      </c>
      <c r="AD67">
        <f>ROUND((((ET67)-(EU67))+AE67),6)</f>
        <v>0</v>
      </c>
      <c r="AE67">
        <f>ROUND((EU67),6)</f>
        <v>0</v>
      </c>
      <c r="AF67">
        <f>ROUND((EV67),6)</f>
        <v>0</v>
      </c>
      <c r="AG67">
        <f t="shared" si="35"/>
        <v>0</v>
      </c>
      <c r="AH67">
        <f>(EW67)</f>
        <v>0</v>
      </c>
      <c r="AI67">
        <f>(EX67)</f>
        <v>0</v>
      </c>
      <c r="AJ67">
        <f t="shared" si="36"/>
        <v>0</v>
      </c>
      <c r="AK67">
        <v>271.55</v>
      </c>
      <c r="AL67">
        <v>271.55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103</v>
      </c>
      <c r="AU67">
        <v>72</v>
      </c>
      <c r="AV67">
        <v>1</v>
      </c>
      <c r="AW67">
        <v>1</v>
      </c>
      <c r="AZ67">
        <v>1</v>
      </c>
      <c r="BA67">
        <v>1</v>
      </c>
      <c r="BB67">
        <v>1</v>
      </c>
      <c r="BC67">
        <v>1.1200000000000001</v>
      </c>
      <c r="BD67" t="s">
        <v>3</v>
      </c>
      <c r="BE67" t="s">
        <v>3</v>
      </c>
      <c r="BF67" t="s">
        <v>3</v>
      </c>
      <c r="BG67" t="s">
        <v>3</v>
      </c>
      <c r="BH67">
        <v>3</v>
      </c>
      <c r="BI67">
        <v>1</v>
      </c>
      <c r="BJ67" t="s">
        <v>118</v>
      </c>
      <c r="BM67">
        <v>47001</v>
      </c>
      <c r="BN67">
        <v>0</v>
      </c>
      <c r="BO67" t="s">
        <v>115</v>
      </c>
      <c r="BP67">
        <v>1</v>
      </c>
      <c r="BQ67">
        <v>2</v>
      </c>
      <c r="BR67">
        <v>0</v>
      </c>
      <c r="BS67">
        <v>1</v>
      </c>
      <c r="BT67">
        <v>1</v>
      </c>
      <c r="BU67">
        <v>1</v>
      </c>
      <c r="BV67">
        <v>1</v>
      </c>
      <c r="BW67">
        <v>1</v>
      </c>
      <c r="BX67">
        <v>1</v>
      </c>
      <c r="BY67" t="s">
        <v>3</v>
      </c>
      <c r="BZ67">
        <v>103</v>
      </c>
      <c r="CA67">
        <v>72</v>
      </c>
      <c r="CB67" t="s">
        <v>3</v>
      </c>
      <c r="CE67">
        <v>0</v>
      </c>
      <c r="CF67">
        <v>0</v>
      </c>
      <c r="CG67">
        <v>0</v>
      </c>
      <c r="CM67">
        <v>0</v>
      </c>
      <c r="CN67" t="s">
        <v>3</v>
      </c>
      <c r="CO67">
        <v>0</v>
      </c>
      <c r="CP67">
        <f t="shared" si="37"/>
        <v>8029.3</v>
      </c>
      <c r="CQ67">
        <f>ROUND(AL67*BC67,2)</f>
        <v>304.14</v>
      </c>
      <c r="CR67">
        <f>ROUND(AM67*BB67,2)</f>
        <v>0</v>
      </c>
      <c r="CS67">
        <f>ROUND(AN67*BS67,2)</f>
        <v>0</v>
      </c>
      <c r="CT67">
        <f>ROUND(AO67*BA67,2)</f>
        <v>0</v>
      </c>
      <c r="CU67">
        <f t="shared" si="38"/>
        <v>0</v>
      </c>
      <c r="CV67">
        <f>AH67</f>
        <v>0</v>
      </c>
      <c r="CW67">
        <f>AI67</f>
        <v>0</v>
      </c>
      <c r="CX67">
        <f t="shared" si="39"/>
        <v>0</v>
      </c>
      <c r="CY67">
        <f t="shared" si="40"/>
        <v>0</v>
      </c>
      <c r="CZ67">
        <f t="shared" si="41"/>
        <v>0</v>
      </c>
      <c r="DC67" t="s">
        <v>3</v>
      </c>
      <c r="DD67" t="s">
        <v>3</v>
      </c>
      <c r="DE67" t="s">
        <v>3</v>
      </c>
      <c r="DF67" t="s">
        <v>3</v>
      </c>
      <c r="DG67" t="s">
        <v>3</v>
      </c>
      <c r="DH67" t="s">
        <v>3</v>
      </c>
      <c r="DI67" t="s">
        <v>3</v>
      </c>
      <c r="DJ67" t="s">
        <v>3</v>
      </c>
      <c r="DK67" t="s">
        <v>3</v>
      </c>
      <c r="DL67" t="s">
        <v>3</v>
      </c>
      <c r="DM67" t="s">
        <v>3</v>
      </c>
      <c r="DN67">
        <v>0</v>
      </c>
      <c r="DO67">
        <v>0</v>
      </c>
      <c r="DP67">
        <v>1</v>
      </c>
      <c r="DQ67">
        <v>1</v>
      </c>
      <c r="DU67">
        <v>1009</v>
      </c>
      <c r="DV67" t="s">
        <v>117</v>
      </c>
      <c r="DW67" t="s">
        <v>117</v>
      </c>
      <c r="DX67">
        <v>1</v>
      </c>
      <c r="DZ67" t="s">
        <v>3</v>
      </c>
      <c r="EA67" t="s">
        <v>3</v>
      </c>
      <c r="EB67" t="s">
        <v>3</v>
      </c>
      <c r="EC67" t="s">
        <v>3</v>
      </c>
      <c r="EE67">
        <v>64851070</v>
      </c>
      <c r="EF67">
        <v>2</v>
      </c>
      <c r="EG67" t="s">
        <v>81</v>
      </c>
      <c r="EH67">
        <v>41</v>
      </c>
      <c r="EI67" t="s">
        <v>100</v>
      </c>
      <c r="EJ67">
        <v>1</v>
      </c>
      <c r="EK67">
        <v>47001</v>
      </c>
      <c r="EL67" t="s">
        <v>100</v>
      </c>
      <c r="EM67" t="s">
        <v>101</v>
      </c>
      <c r="EO67" t="s">
        <v>3</v>
      </c>
      <c r="EQ67">
        <v>0</v>
      </c>
      <c r="ER67">
        <v>271.55</v>
      </c>
      <c r="ES67">
        <v>271.55</v>
      </c>
      <c r="ET67">
        <v>0</v>
      </c>
      <c r="EU67">
        <v>0</v>
      </c>
      <c r="EV67">
        <v>0</v>
      </c>
      <c r="EW67">
        <v>0</v>
      </c>
      <c r="EX67">
        <v>0</v>
      </c>
      <c r="FQ67">
        <v>0</v>
      </c>
      <c r="FR67">
        <f t="shared" si="42"/>
        <v>0</v>
      </c>
      <c r="FS67">
        <v>0</v>
      </c>
      <c r="FX67">
        <v>103</v>
      </c>
      <c r="FY67">
        <v>72</v>
      </c>
      <c r="GA67" t="s">
        <v>3</v>
      </c>
      <c r="GD67">
        <v>1</v>
      </c>
      <c r="GF67">
        <v>-864935114</v>
      </c>
      <c r="GG67">
        <v>2</v>
      </c>
      <c r="GH67">
        <v>1</v>
      </c>
      <c r="GI67">
        <v>2</v>
      </c>
      <c r="GJ67">
        <v>0</v>
      </c>
      <c r="GK67">
        <v>0</v>
      </c>
      <c r="GL67">
        <f t="shared" si="43"/>
        <v>0</v>
      </c>
      <c r="GM67">
        <f t="shared" si="44"/>
        <v>8029.3</v>
      </c>
      <c r="GN67">
        <f t="shared" si="45"/>
        <v>8029.3</v>
      </c>
      <c r="GO67">
        <f t="shared" si="46"/>
        <v>0</v>
      </c>
      <c r="GP67">
        <f t="shared" si="47"/>
        <v>0</v>
      </c>
      <c r="GR67">
        <v>0</v>
      </c>
      <c r="GS67">
        <v>0</v>
      </c>
      <c r="GT67">
        <v>0</v>
      </c>
      <c r="GU67" t="s">
        <v>3</v>
      </c>
      <c r="GV67">
        <f t="shared" si="48"/>
        <v>0</v>
      </c>
      <c r="GW67">
        <v>1</v>
      </c>
      <c r="GX67">
        <f t="shared" si="49"/>
        <v>0</v>
      </c>
      <c r="HA67">
        <v>0</v>
      </c>
      <c r="HB67">
        <v>0</v>
      </c>
      <c r="HC67">
        <f t="shared" si="50"/>
        <v>0</v>
      </c>
      <c r="HE67" t="s">
        <v>3</v>
      </c>
      <c r="HF67" t="s">
        <v>3</v>
      </c>
      <c r="HM67" t="s">
        <v>3</v>
      </c>
      <c r="HN67" t="s">
        <v>102</v>
      </c>
      <c r="HO67" t="s">
        <v>103</v>
      </c>
      <c r="HP67" t="s">
        <v>100</v>
      </c>
      <c r="HQ67" t="s">
        <v>100</v>
      </c>
      <c r="IK67">
        <v>0</v>
      </c>
    </row>
    <row r="69" spans="1:245" x14ac:dyDescent="0.2">
      <c r="A69" s="2">
        <v>51</v>
      </c>
      <c r="B69" s="2">
        <f>B58</f>
        <v>1</v>
      </c>
      <c r="C69" s="2">
        <f>A58</f>
        <v>4</v>
      </c>
      <c r="D69" s="2">
        <f>ROW(A58)</f>
        <v>58</v>
      </c>
      <c r="E69" s="2"/>
      <c r="F69" s="2" t="str">
        <f>IF(F58&lt;&gt;"",F58,"")</f>
        <v>Новый раздел</v>
      </c>
      <c r="G69" s="2" t="str">
        <f>IF(G58&lt;&gt;"",G58,"")</f>
        <v>Землянные работы</v>
      </c>
      <c r="H69" s="2">
        <v>0</v>
      </c>
      <c r="I69" s="2"/>
      <c r="J69" s="2"/>
      <c r="K69" s="2"/>
      <c r="L69" s="2"/>
      <c r="M69" s="2"/>
      <c r="N69" s="2"/>
      <c r="O69" s="2">
        <f t="shared" ref="O69:T69" si="51">ROUND(AB69,2)</f>
        <v>1202816.8799999999</v>
      </c>
      <c r="P69" s="2">
        <f t="shared" si="51"/>
        <v>243925.84</v>
      </c>
      <c r="Q69" s="2">
        <f t="shared" si="51"/>
        <v>22017.31</v>
      </c>
      <c r="R69" s="2">
        <f t="shared" si="51"/>
        <v>8417.84</v>
      </c>
      <c r="S69" s="2">
        <f t="shared" si="51"/>
        <v>928455.89</v>
      </c>
      <c r="T69" s="2">
        <f t="shared" si="51"/>
        <v>0</v>
      </c>
      <c r="U69" s="2">
        <f>AH69</f>
        <v>2341.7592000000004</v>
      </c>
      <c r="V69" s="2">
        <f>AI69</f>
        <v>17.16</v>
      </c>
      <c r="W69" s="2">
        <f>ROUND(AJ69,2)</f>
        <v>0</v>
      </c>
      <c r="X69" s="2">
        <f>ROUND(AK69,2)</f>
        <v>869259.93</v>
      </c>
      <c r="Y69" s="2">
        <f>ROUND(AL69,2)</f>
        <v>455760.51</v>
      </c>
      <c r="Z69" s="2"/>
      <c r="AA69" s="2"/>
      <c r="AB69" s="2">
        <f>ROUND(SUMIF(AA62:AA67,"=65174513",O62:O67),2)</f>
        <v>1202816.8799999999</v>
      </c>
      <c r="AC69" s="2">
        <f>ROUND(SUMIF(AA62:AA67,"=65174513",P62:P67),2)</f>
        <v>243925.84</v>
      </c>
      <c r="AD69" s="2">
        <f>ROUND(SUMIF(AA62:AA67,"=65174513",Q62:Q67),2)</f>
        <v>22017.31</v>
      </c>
      <c r="AE69" s="2">
        <f>ROUND(SUMIF(AA62:AA67,"=65174513",R62:R67),2)</f>
        <v>8417.84</v>
      </c>
      <c r="AF69" s="2">
        <f>ROUND(SUMIF(AA62:AA67,"=65174513",S62:S67),2)</f>
        <v>928455.89</v>
      </c>
      <c r="AG69" s="2">
        <f>ROUND(SUMIF(AA62:AA67,"=65174513",T62:T67),2)</f>
        <v>0</v>
      </c>
      <c r="AH69" s="2">
        <f>SUMIF(AA62:AA67,"=65174513",U62:U67)</f>
        <v>2341.7592000000004</v>
      </c>
      <c r="AI69" s="2">
        <f>SUMIF(AA62:AA67,"=65174513",V62:V67)</f>
        <v>17.16</v>
      </c>
      <c r="AJ69" s="2">
        <f>ROUND(SUMIF(AA62:AA67,"=65174513",W62:W67),2)</f>
        <v>0</v>
      </c>
      <c r="AK69" s="2">
        <f>ROUND(SUMIF(AA62:AA67,"=65174513",X62:X67),2)</f>
        <v>869259.93</v>
      </c>
      <c r="AL69" s="2">
        <f>ROUND(SUMIF(AA62:AA67,"=65174513",Y62:Y67),2)</f>
        <v>455760.51</v>
      </c>
      <c r="AM69" s="2"/>
      <c r="AN69" s="2"/>
      <c r="AO69" s="2">
        <f t="shared" ref="AO69:BD69" si="52">ROUND(BX69,2)</f>
        <v>0</v>
      </c>
      <c r="AP69" s="2">
        <f t="shared" si="52"/>
        <v>0</v>
      </c>
      <c r="AQ69" s="2">
        <f t="shared" si="52"/>
        <v>0</v>
      </c>
      <c r="AR69" s="2">
        <f t="shared" si="52"/>
        <v>2527837.3199999998</v>
      </c>
      <c r="AS69" s="2">
        <f t="shared" si="52"/>
        <v>2527837.3199999998</v>
      </c>
      <c r="AT69" s="2">
        <f t="shared" si="52"/>
        <v>0</v>
      </c>
      <c r="AU69" s="2">
        <f t="shared" si="52"/>
        <v>0</v>
      </c>
      <c r="AV69" s="2">
        <f t="shared" si="52"/>
        <v>243925.84</v>
      </c>
      <c r="AW69" s="2">
        <f t="shared" si="52"/>
        <v>243925.84</v>
      </c>
      <c r="AX69" s="2">
        <f t="shared" si="52"/>
        <v>0</v>
      </c>
      <c r="AY69" s="2">
        <f t="shared" si="52"/>
        <v>243925.84</v>
      </c>
      <c r="AZ69" s="2">
        <f t="shared" si="52"/>
        <v>0</v>
      </c>
      <c r="BA69" s="2">
        <f t="shared" si="52"/>
        <v>0</v>
      </c>
      <c r="BB69" s="2">
        <f t="shared" si="52"/>
        <v>0</v>
      </c>
      <c r="BC69" s="2">
        <f t="shared" si="52"/>
        <v>0</v>
      </c>
      <c r="BD69" s="2">
        <f t="shared" si="52"/>
        <v>0</v>
      </c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>
        <f>ROUND(SUMIF(AA62:AA67,"=65174513",FQ62:FQ67),2)</f>
        <v>0</v>
      </c>
      <c r="BY69" s="2">
        <f>ROUND(SUMIF(AA62:AA67,"=65174513",FR62:FR67),2)</f>
        <v>0</v>
      </c>
      <c r="BZ69" s="2">
        <f>ROUND(SUMIF(AA62:AA67,"=65174513",GL62:GL67),2)</f>
        <v>0</v>
      </c>
      <c r="CA69" s="2">
        <f>ROUND(SUMIF(AA62:AA67,"=65174513",GM62:GM67),2)</f>
        <v>2527837.3199999998</v>
      </c>
      <c r="CB69" s="2">
        <f>ROUND(SUMIF(AA62:AA67,"=65174513",GN62:GN67),2)</f>
        <v>2527837.3199999998</v>
      </c>
      <c r="CC69" s="2">
        <f>ROUND(SUMIF(AA62:AA67,"=65174513",GO62:GO67),2)</f>
        <v>0</v>
      </c>
      <c r="CD69" s="2">
        <f>ROUND(SUMIF(AA62:AA67,"=65174513",GP62:GP67),2)</f>
        <v>0</v>
      </c>
      <c r="CE69" s="2">
        <f>AC69-BX69</f>
        <v>243925.84</v>
      </c>
      <c r="CF69" s="2">
        <f>AC69-BY69</f>
        <v>243925.84</v>
      </c>
      <c r="CG69" s="2">
        <f>BX69-BZ69</f>
        <v>0</v>
      </c>
      <c r="CH69" s="2">
        <f>AC69-BX69-BY69+BZ69</f>
        <v>243925.84</v>
      </c>
      <c r="CI69" s="2">
        <f>BY69-BZ69</f>
        <v>0</v>
      </c>
      <c r="CJ69" s="2">
        <f>ROUND(SUMIF(AA62:AA67,"=65174513",GX62:GX67),2)</f>
        <v>0</v>
      </c>
      <c r="CK69" s="2">
        <f>ROUND(SUMIF(AA62:AA67,"=65174513",GY62:GY67),2)</f>
        <v>0</v>
      </c>
      <c r="CL69" s="2">
        <f>ROUND(SUMIF(AA62:AA67,"=65174513",GZ62:GZ67),2)</f>
        <v>0</v>
      </c>
      <c r="CM69" s="2">
        <f>ROUND(SUMIF(AA62:AA67,"=65174513",HD62:HD67),2)</f>
        <v>0</v>
      </c>
      <c r="CN69" s="2"/>
      <c r="CO69" s="2"/>
      <c r="CP69" s="2"/>
      <c r="CQ69" s="2"/>
      <c r="CR69" s="2"/>
      <c r="CS69" s="2"/>
      <c r="CT69" s="2"/>
      <c r="CU69" s="2"/>
      <c r="CV69" s="2"/>
      <c r="CW69" s="2"/>
      <c r="CX69" s="2"/>
      <c r="CY69" s="2"/>
      <c r="CZ69" s="2"/>
      <c r="DA69" s="2"/>
      <c r="DB69" s="2"/>
      <c r="DC69" s="2"/>
      <c r="DD69" s="2"/>
      <c r="DE69" s="2"/>
      <c r="DF69" s="2"/>
      <c r="DG69" s="3"/>
      <c r="DH69" s="3"/>
      <c r="DI69" s="3"/>
      <c r="DJ69" s="3"/>
      <c r="DK69" s="3"/>
      <c r="DL69" s="3"/>
      <c r="DM69" s="3"/>
      <c r="DN69" s="3"/>
      <c r="DO69" s="3"/>
      <c r="DP69" s="3"/>
      <c r="DQ69" s="3"/>
      <c r="DR69" s="3"/>
      <c r="DS69" s="3"/>
      <c r="DT69" s="3"/>
      <c r="DU69" s="3"/>
      <c r="DV69" s="3"/>
      <c r="DW69" s="3"/>
      <c r="DX69" s="3"/>
      <c r="DY69" s="3"/>
      <c r="DZ69" s="3"/>
      <c r="EA69" s="3"/>
      <c r="EB69" s="3"/>
      <c r="EC69" s="3"/>
      <c r="ED69" s="3"/>
      <c r="EE69" s="3"/>
      <c r="EF69" s="3"/>
      <c r="EG69" s="3"/>
      <c r="EH69" s="3"/>
      <c r="EI69" s="3"/>
      <c r="EJ69" s="3"/>
      <c r="EK69" s="3"/>
      <c r="EL69" s="3"/>
      <c r="EM69" s="3"/>
      <c r="EN69" s="3"/>
      <c r="EO69" s="3"/>
      <c r="EP69" s="3"/>
      <c r="EQ69" s="3"/>
      <c r="ER69" s="3"/>
      <c r="ES69" s="3"/>
      <c r="ET69" s="3"/>
      <c r="EU69" s="3"/>
      <c r="EV69" s="3"/>
      <c r="EW69" s="3"/>
      <c r="EX69" s="3"/>
      <c r="EY69" s="3"/>
      <c r="EZ69" s="3"/>
      <c r="FA69" s="3"/>
      <c r="FB69" s="3"/>
      <c r="FC69" s="3"/>
      <c r="FD69" s="3"/>
      <c r="FE69" s="3"/>
      <c r="FF69" s="3"/>
      <c r="FG69" s="3"/>
      <c r="FH69" s="3"/>
      <c r="FI69" s="3"/>
      <c r="FJ69" s="3"/>
      <c r="FK69" s="3"/>
      <c r="FL69" s="3"/>
      <c r="FM69" s="3"/>
      <c r="FN69" s="3"/>
      <c r="FO69" s="3"/>
      <c r="FP69" s="3"/>
      <c r="FQ69" s="3"/>
      <c r="FR69" s="3"/>
      <c r="FS69" s="3"/>
      <c r="FT69" s="3"/>
      <c r="FU69" s="3"/>
      <c r="FV69" s="3"/>
      <c r="FW69" s="3"/>
      <c r="FX69" s="3"/>
      <c r="FY69" s="3"/>
      <c r="FZ69" s="3"/>
      <c r="GA69" s="3"/>
      <c r="GB69" s="3"/>
      <c r="GC69" s="3"/>
      <c r="GD69" s="3"/>
      <c r="GE69" s="3"/>
      <c r="GF69" s="3"/>
      <c r="GG69" s="3"/>
      <c r="GH69" s="3"/>
      <c r="GI69" s="3"/>
      <c r="GJ69" s="3"/>
      <c r="GK69" s="3"/>
      <c r="GL69" s="3"/>
      <c r="GM69" s="3"/>
      <c r="GN69" s="3"/>
      <c r="GO69" s="3"/>
      <c r="GP69" s="3"/>
      <c r="GQ69" s="3"/>
      <c r="GR69" s="3"/>
      <c r="GS69" s="3"/>
      <c r="GT69" s="3"/>
      <c r="GU69" s="3"/>
      <c r="GV69" s="3"/>
      <c r="GW69" s="3"/>
      <c r="GX69" s="3">
        <v>0</v>
      </c>
    </row>
    <row r="71" spans="1:245" x14ac:dyDescent="0.2">
      <c r="A71" s="4">
        <v>50</v>
      </c>
      <c r="B71" s="4">
        <v>0</v>
      </c>
      <c r="C71" s="4">
        <v>0</v>
      </c>
      <c r="D71" s="4">
        <v>1</v>
      </c>
      <c r="E71" s="4">
        <v>201</v>
      </c>
      <c r="F71" s="4">
        <f>ROUND(Source!O69,O71)</f>
        <v>1202816.8799999999</v>
      </c>
      <c r="G71" s="4" t="s">
        <v>17</v>
      </c>
      <c r="H71" s="4" t="s">
        <v>18</v>
      </c>
      <c r="I71" s="4"/>
      <c r="J71" s="4"/>
      <c r="K71" s="4">
        <v>201</v>
      </c>
      <c r="L71" s="4">
        <v>1</v>
      </c>
      <c r="M71" s="4">
        <v>3</v>
      </c>
      <c r="N71" s="4" t="s">
        <v>3</v>
      </c>
      <c r="O71" s="4">
        <v>2</v>
      </c>
      <c r="P71" s="4"/>
      <c r="Q71" s="4"/>
      <c r="R71" s="4"/>
      <c r="S71" s="4"/>
      <c r="T71" s="4"/>
      <c r="U71" s="4"/>
      <c r="V71" s="4"/>
      <c r="W71" s="4">
        <v>1202816.8800000001</v>
      </c>
      <c r="X71" s="4">
        <v>1</v>
      </c>
      <c r="Y71" s="4">
        <v>1202816.8800000001</v>
      </c>
      <c r="Z71" s="4"/>
      <c r="AA71" s="4"/>
      <c r="AB71" s="4"/>
    </row>
    <row r="72" spans="1:245" x14ac:dyDescent="0.2">
      <c r="A72" s="4">
        <v>50</v>
      </c>
      <c r="B72" s="4">
        <v>0</v>
      </c>
      <c r="C72" s="4">
        <v>0</v>
      </c>
      <c r="D72" s="4">
        <v>1</v>
      </c>
      <c r="E72" s="4">
        <v>202</v>
      </c>
      <c r="F72" s="4">
        <f>ROUND(Source!P69,O72)</f>
        <v>243925.84</v>
      </c>
      <c r="G72" s="4" t="s">
        <v>19</v>
      </c>
      <c r="H72" s="4" t="s">
        <v>20</v>
      </c>
      <c r="I72" s="4"/>
      <c r="J72" s="4"/>
      <c r="K72" s="4">
        <v>202</v>
      </c>
      <c r="L72" s="4">
        <v>2</v>
      </c>
      <c r="M72" s="4">
        <v>3</v>
      </c>
      <c r="N72" s="4" t="s">
        <v>3</v>
      </c>
      <c r="O72" s="4">
        <v>2</v>
      </c>
      <c r="P72" s="4"/>
      <c r="Q72" s="4"/>
      <c r="R72" s="4"/>
      <c r="S72" s="4"/>
      <c r="T72" s="4"/>
      <c r="U72" s="4"/>
      <c r="V72" s="4"/>
      <c r="W72" s="4">
        <v>243925.84</v>
      </c>
      <c r="X72" s="4">
        <v>1</v>
      </c>
      <c r="Y72" s="4">
        <v>243925.84</v>
      </c>
      <c r="Z72" s="4"/>
      <c r="AA72" s="4"/>
      <c r="AB72" s="4"/>
    </row>
    <row r="73" spans="1:245" x14ac:dyDescent="0.2">
      <c r="A73" s="4">
        <v>50</v>
      </c>
      <c r="B73" s="4">
        <v>0</v>
      </c>
      <c r="C73" s="4">
        <v>0</v>
      </c>
      <c r="D73" s="4">
        <v>1</v>
      </c>
      <c r="E73" s="4">
        <v>222</v>
      </c>
      <c r="F73" s="4">
        <f>ROUND(Source!AO69,O73)</f>
        <v>0</v>
      </c>
      <c r="G73" s="4" t="s">
        <v>21</v>
      </c>
      <c r="H73" s="4" t="s">
        <v>22</v>
      </c>
      <c r="I73" s="4"/>
      <c r="J73" s="4"/>
      <c r="K73" s="4">
        <v>222</v>
      </c>
      <c r="L73" s="4">
        <v>3</v>
      </c>
      <c r="M73" s="4">
        <v>3</v>
      </c>
      <c r="N73" s="4" t="s">
        <v>3</v>
      </c>
      <c r="O73" s="4">
        <v>2</v>
      </c>
      <c r="P73" s="4"/>
      <c r="Q73" s="4"/>
      <c r="R73" s="4"/>
      <c r="S73" s="4"/>
      <c r="T73" s="4"/>
      <c r="U73" s="4"/>
      <c r="V73" s="4"/>
      <c r="W73" s="4">
        <v>0</v>
      </c>
      <c r="X73" s="4">
        <v>1</v>
      </c>
      <c r="Y73" s="4">
        <v>0</v>
      </c>
      <c r="Z73" s="4"/>
      <c r="AA73" s="4"/>
      <c r="AB73" s="4"/>
    </row>
    <row r="74" spans="1:245" x14ac:dyDescent="0.2">
      <c r="A74" s="4">
        <v>50</v>
      </c>
      <c r="B74" s="4">
        <v>0</v>
      </c>
      <c r="C74" s="4">
        <v>0</v>
      </c>
      <c r="D74" s="4">
        <v>1</v>
      </c>
      <c r="E74" s="4">
        <v>225</v>
      </c>
      <c r="F74" s="4">
        <f>ROUND(Source!AV69,O74)</f>
        <v>243925.84</v>
      </c>
      <c r="G74" s="4" t="s">
        <v>23</v>
      </c>
      <c r="H74" s="4" t="s">
        <v>24</v>
      </c>
      <c r="I74" s="4"/>
      <c r="J74" s="4"/>
      <c r="K74" s="4">
        <v>225</v>
      </c>
      <c r="L74" s="4">
        <v>4</v>
      </c>
      <c r="M74" s="4">
        <v>3</v>
      </c>
      <c r="N74" s="4" t="s">
        <v>3</v>
      </c>
      <c r="O74" s="4">
        <v>2</v>
      </c>
      <c r="P74" s="4"/>
      <c r="Q74" s="4"/>
      <c r="R74" s="4"/>
      <c r="S74" s="4"/>
      <c r="T74" s="4"/>
      <c r="U74" s="4"/>
      <c r="V74" s="4"/>
      <c r="W74" s="4">
        <v>243925.84</v>
      </c>
      <c r="X74" s="4">
        <v>1</v>
      </c>
      <c r="Y74" s="4">
        <v>243925.84</v>
      </c>
      <c r="Z74" s="4"/>
      <c r="AA74" s="4"/>
      <c r="AB74" s="4"/>
    </row>
    <row r="75" spans="1:245" x14ac:dyDescent="0.2">
      <c r="A75" s="4">
        <v>50</v>
      </c>
      <c r="B75" s="4">
        <v>0</v>
      </c>
      <c r="C75" s="4">
        <v>0</v>
      </c>
      <c r="D75" s="4">
        <v>1</v>
      </c>
      <c r="E75" s="4">
        <v>226</v>
      </c>
      <c r="F75" s="4">
        <f>ROUND(Source!AW69,O75)</f>
        <v>243925.84</v>
      </c>
      <c r="G75" s="4" t="s">
        <v>25</v>
      </c>
      <c r="H75" s="4" t="s">
        <v>26</v>
      </c>
      <c r="I75" s="4"/>
      <c r="J75" s="4"/>
      <c r="K75" s="4">
        <v>226</v>
      </c>
      <c r="L75" s="4">
        <v>5</v>
      </c>
      <c r="M75" s="4">
        <v>3</v>
      </c>
      <c r="N75" s="4" t="s">
        <v>3</v>
      </c>
      <c r="O75" s="4">
        <v>2</v>
      </c>
      <c r="P75" s="4"/>
      <c r="Q75" s="4"/>
      <c r="R75" s="4"/>
      <c r="S75" s="4"/>
      <c r="T75" s="4"/>
      <c r="U75" s="4"/>
      <c r="V75" s="4"/>
      <c r="W75" s="4">
        <v>243925.84</v>
      </c>
      <c r="X75" s="4">
        <v>1</v>
      </c>
      <c r="Y75" s="4">
        <v>243925.84</v>
      </c>
      <c r="Z75" s="4"/>
      <c r="AA75" s="4"/>
      <c r="AB75" s="4"/>
    </row>
    <row r="76" spans="1:245" x14ac:dyDescent="0.2">
      <c r="A76" s="4">
        <v>50</v>
      </c>
      <c r="B76" s="4">
        <v>0</v>
      </c>
      <c r="C76" s="4">
        <v>0</v>
      </c>
      <c r="D76" s="4">
        <v>1</v>
      </c>
      <c r="E76" s="4">
        <v>227</v>
      </c>
      <c r="F76" s="4">
        <f>ROUND(Source!AX69,O76)</f>
        <v>0</v>
      </c>
      <c r="G76" s="4" t="s">
        <v>27</v>
      </c>
      <c r="H76" s="4" t="s">
        <v>28</v>
      </c>
      <c r="I76" s="4"/>
      <c r="J76" s="4"/>
      <c r="K76" s="4">
        <v>227</v>
      </c>
      <c r="L76" s="4">
        <v>6</v>
      </c>
      <c r="M76" s="4">
        <v>3</v>
      </c>
      <c r="N76" s="4" t="s">
        <v>3</v>
      </c>
      <c r="O76" s="4">
        <v>2</v>
      </c>
      <c r="P76" s="4"/>
      <c r="Q76" s="4"/>
      <c r="R76" s="4"/>
      <c r="S76" s="4"/>
      <c r="T76" s="4"/>
      <c r="U76" s="4"/>
      <c r="V76" s="4"/>
      <c r="W76" s="4">
        <v>0</v>
      </c>
      <c r="X76" s="4">
        <v>1</v>
      </c>
      <c r="Y76" s="4">
        <v>0</v>
      </c>
      <c r="Z76" s="4"/>
      <c r="AA76" s="4"/>
      <c r="AB76" s="4"/>
    </row>
    <row r="77" spans="1:245" x14ac:dyDescent="0.2">
      <c r="A77" s="4">
        <v>50</v>
      </c>
      <c r="B77" s="4">
        <v>0</v>
      </c>
      <c r="C77" s="4">
        <v>0</v>
      </c>
      <c r="D77" s="4">
        <v>1</v>
      </c>
      <c r="E77" s="4">
        <v>228</v>
      </c>
      <c r="F77" s="4">
        <f>ROUND(Source!AY69,O77)</f>
        <v>243925.84</v>
      </c>
      <c r="G77" s="4" t="s">
        <v>29</v>
      </c>
      <c r="H77" s="4" t="s">
        <v>30</v>
      </c>
      <c r="I77" s="4"/>
      <c r="J77" s="4"/>
      <c r="K77" s="4">
        <v>228</v>
      </c>
      <c r="L77" s="4">
        <v>7</v>
      </c>
      <c r="M77" s="4">
        <v>3</v>
      </c>
      <c r="N77" s="4" t="s">
        <v>3</v>
      </c>
      <c r="O77" s="4">
        <v>2</v>
      </c>
      <c r="P77" s="4"/>
      <c r="Q77" s="4"/>
      <c r="R77" s="4"/>
      <c r="S77" s="4"/>
      <c r="T77" s="4"/>
      <c r="U77" s="4"/>
      <c r="V77" s="4"/>
      <c r="W77" s="4">
        <v>243925.84</v>
      </c>
      <c r="X77" s="4">
        <v>1</v>
      </c>
      <c r="Y77" s="4">
        <v>243925.84</v>
      </c>
      <c r="Z77" s="4"/>
      <c r="AA77" s="4"/>
      <c r="AB77" s="4"/>
    </row>
    <row r="78" spans="1:245" x14ac:dyDescent="0.2">
      <c r="A78" s="4">
        <v>50</v>
      </c>
      <c r="B78" s="4">
        <v>0</v>
      </c>
      <c r="C78" s="4">
        <v>0</v>
      </c>
      <c r="D78" s="4">
        <v>1</v>
      </c>
      <c r="E78" s="4">
        <v>216</v>
      </c>
      <c r="F78" s="4">
        <f>ROUND(Source!AP69,O78)</f>
        <v>0</v>
      </c>
      <c r="G78" s="4" t="s">
        <v>31</v>
      </c>
      <c r="H78" s="4" t="s">
        <v>32</v>
      </c>
      <c r="I78" s="4"/>
      <c r="J78" s="4"/>
      <c r="K78" s="4">
        <v>216</v>
      </c>
      <c r="L78" s="4">
        <v>8</v>
      </c>
      <c r="M78" s="4">
        <v>3</v>
      </c>
      <c r="N78" s="4" t="s">
        <v>3</v>
      </c>
      <c r="O78" s="4">
        <v>2</v>
      </c>
      <c r="P78" s="4"/>
      <c r="Q78" s="4"/>
      <c r="R78" s="4"/>
      <c r="S78" s="4"/>
      <c r="T78" s="4"/>
      <c r="U78" s="4"/>
      <c r="V78" s="4"/>
      <c r="W78" s="4">
        <v>0</v>
      </c>
      <c r="X78" s="4">
        <v>1</v>
      </c>
      <c r="Y78" s="4">
        <v>0</v>
      </c>
      <c r="Z78" s="4"/>
      <c r="AA78" s="4"/>
      <c r="AB78" s="4"/>
    </row>
    <row r="79" spans="1:245" x14ac:dyDescent="0.2">
      <c r="A79" s="4">
        <v>50</v>
      </c>
      <c r="B79" s="4">
        <v>0</v>
      </c>
      <c r="C79" s="4">
        <v>0</v>
      </c>
      <c r="D79" s="4">
        <v>1</v>
      </c>
      <c r="E79" s="4">
        <v>223</v>
      </c>
      <c r="F79" s="4">
        <f>ROUND(Source!AQ69,O79)</f>
        <v>0</v>
      </c>
      <c r="G79" s="4" t="s">
        <v>33</v>
      </c>
      <c r="H79" s="4" t="s">
        <v>34</v>
      </c>
      <c r="I79" s="4"/>
      <c r="J79" s="4"/>
      <c r="K79" s="4">
        <v>223</v>
      </c>
      <c r="L79" s="4">
        <v>9</v>
      </c>
      <c r="M79" s="4">
        <v>3</v>
      </c>
      <c r="N79" s="4" t="s">
        <v>3</v>
      </c>
      <c r="O79" s="4">
        <v>2</v>
      </c>
      <c r="P79" s="4"/>
      <c r="Q79" s="4"/>
      <c r="R79" s="4"/>
      <c r="S79" s="4"/>
      <c r="T79" s="4"/>
      <c r="U79" s="4"/>
      <c r="V79" s="4"/>
      <c r="W79" s="4">
        <v>0</v>
      </c>
      <c r="X79" s="4">
        <v>1</v>
      </c>
      <c r="Y79" s="4">
        <v>0</v>
      </c>
      <c r="Z79" s="4"/>
      <c r="AA79" s="4"/>
      <c r="AB79" s="4"/>
    </row>
    <row r="80" spans="1:245" x14ac:dyDescent="0.2">
      <c r="A80" s="4">
        <v>50</v>
      </c>
      <c r="B80" s="4">
        <v>0</v>
      </c>
      <c r="C80" s="4">
        <v>0</v>
      </c>
      <c r="D80" s="4">
        <v>1</v>
      </c>
      <c r="E80" s="4">
        <v>229</v>
      </c>
      <c r="F80" s="4">
        <f>ROUND(Source!AZ69,O80)</f>
        <v>0</v>
      </c>
      <c r="G80" s="4" t="s">
        <v>35</v>
      </c>
      <c r="H80" s="4" t="s">
        <v>36</v>
      </c>
      <c r="I80" s="4"/>
      <c r="J80" s="4"/>
      <c r="K80" s="4">
        <v>229</v>
      </c>
      <c r="L80" s="4">
        <v>10</v>
      </c>
      <c r="M80" s="4">
        <v>3</v>
      </c>
      <c r="N80" s="4" t="s">
        <v>3</v>
      </c>
      <c r="O80" s="4">
        <v>2</v>
      </c>
      <c r="P80" s="4"/>
      <c r="Q80" s="4"/>
      <c r="R80" s="4"/>
      <c r="S80" s="4"/>
      <c r="T80" s="4"/>
      <c r="U80" s="4"/>
      <c r="V80" s="4"/>
      <c r="W80" s="4">
        <v>0</v>
      </c>
      <c r="X80" s="4">
        <v>1</v>
      </c>
      <c r="Y80" s="4">
        <v>0</v>
      </c>
      <c r="Z80" s="4"/>
      <c r="AA80" s="4"/>
      <c r="AB80" s="4"/>
    </row>
    <row r="81" spans="1:28" x14ac:dyDescent="0.2">
      <c r="A81" s="4">
        <v>50</v>
      </c>
      <c r="B81" s="4">
        <v>0</v>
      </c>
      <c r="C81" s="4">
        <v>0</v>
      </c>
      <c r="D81" s="4">
        <v>1</v>
      </c>
      <c r="E81" s="4">
        <v>203</v>
      </c>
      <c r="F81" s="4">
        <f>ROUND(Source!Q69,O81)</f>
        <v>22017.31</v>
      </c>
      <c r="G81" s="4" t="s">
        <v>37</v>
      </c>
      <c r="H81" s="4" t="s">
        <v>38</v>
      </c>
      <c r="I81" s="4"/>
      <c r="J81" s="4"/>
      <c r="K81" s="4">
        <v>203</v>
      </c>
      <c r="L81" s="4">
        <v>11</v>
      </c>
      <c r="M81" s="4">
        <v>3</v>
      </c>
      <c r="N81" s="4" t="s">
        <v>3</v>
      </c>
      <c r="O81" s="4">
        <v>2</v>
      </c>
      <c r="P81" s="4"/>
      <c r="Q81" s="4"/>
      <c r="R81" s="4"/>
      <c r="S81" s="4"/>
      <c r="T81" s="4"/>
      <c r="U81" s="4"/>
      <c r="V81" s="4"/>
      <c r="W81" s="4">
        <v>22017.31</v>
      </c>
      <c r="X81" s="4">
        <v>1</v>
      </c>
      <c r="Y81" s="4">
        <v>22017.31</v>
      </c>
      <c r="Z81" s="4"/>
      <c r="AA81" s="4"/>
      <c r="AB81" s="4"/>
    </row>
    <row r="82" spans="1:28" x14ac:dyDescent="0.2">
      <c r="A82" s="4">
        <v>50</v>
      </c>
      <c r="B82" s="4">
        <v>0</v>
      </c>
      <c r="C82" s="4">
        <v>0</v>
      </c>
      <c r="D82" s="4">
        <v>1</v>
      </c>
      <c r="E82" s="4">
        <v>231</v>
      </c>
      <c r="F82" s="4">
        <f>ROUND(Source!BB69,O82)</f>
        <v>0</v>
      </c>
      <c r="G82" s="4" t="s">
        <v>39</v>
      </c>
      <c r="H82" s="4" t="s">
        <v>40</v>
      </c>
      <c r="I82" s="4"/>
      <c r="J82" s="4"/>
      <c r="K82" s="4">
        <v>231</v>
      </c>
      <c r="L82" s="4">
        <v>12</v>
      </c>
      <c r="M82" s="4">
        <v>3</v>
      </c>
      <c r="N82" s="4" t="s">
        <v>3</v>
      </c>
      <c r="O82" s="4">
        <v>2</v>
      </c>
      <c r="P82" s="4"/>
      <c r="Q82" s="4"/>
      <c r="R82" s="4"/>
      <c r="S82" s="4"/>
      <c r="T82" s="4"/>
      <c r="U82" s="4"/>
      <c r="V82" s="4"/>
      <c r="W82" s="4">
        <v>0</v>
      </c>
      <c r="X82" s="4">
        <v>1</v>
      </c>
      <c r="Y82" s="4">
        <v>0</v>
      </c>
      <c r="Z82" s="4"/>
      <c r="AA82" s="4"/>
      <c r="AB82" s="4"/>
    </row>
    <row r="83" spans="1:28" x14ac:dyDescent="0.2">
      <c r="A83" s="4">
        <v>50</v>
      </c>
      <c r="B83" s="4">
        <v>0</v>
      </c>
      <c r="C83" s="4">
        <v>0</v>
      </c>
      <c r="D83" s="4">
        <v>1</v>
      </c>
      <c r="E83" s="4">
        <v>204</v>
      </c>
      <c r="F83" s="4">
        <f>ROUND(Source!R69,O83)</f>
        <v>8417.84</v>
      </c>
      <c r="G83" s="4" t="s">
        <v>41</v>
      </c>
      <c r="H83" s="4" t="s">
        <v>42</v>
      </c>
      <c r="I83" s="4"/>
      <c r="J83" s="4"/>
      <c r="K83" s="4">
        <v>204</v>
      </c>
      <c r="L83" s="4">
        <v>13</v>
      </c>
      <c r="M83" s="4">
        <v>3</v>
      </c>
      <c r="N83" s="4" t="s">
        <v>3</v>
      </c>
      <c r="O83" s="4">
        <v>2</v>
      </c>
      <c r="P83" s="4"/>
      <c r="Q83" s="4"/>
      <c r="R83" s="4"/>
      <c r="S83" s="4"/>
      <c r="T83" s="4"/>
      <c r="U83" s="4"/>
      <c r="V83" s="4"/>
      <c r="W83" s="4">
        <v>8417.84</v>
      </c>
      <c r="X83" s="4">
        <v>1</v>
      </c>
      <c r="Y83" s="4">
        <v>8417.84</v>
      </c>
      <c r="Z83" s="4"/>
      <c r="AA83" s="4"/>
      <c r="AB83" s="4"/>
    </row>
    <row r="84" spans="1:28" x14ac:dyDescent="0.2">
      <c r="A84" s="4">
        <v>50</v>
      </c>
      <c r="B84" s="4">
        <v>0</v>
      </c>
      <c r="C84" s="4">
        <v>0</v>
      </c>
      <c r="D84" s="4">
        <v>1</v>
      </c>
      <c r="E84" s="4">
        <v>205</v>
      </c>
      <c r="F84" s="4">
        <f>ROUND(Source!S69,O84)</f>
        <v>928455.89</v>
      </c>
      <c r="G84" s="4" t="s">
        <v>43</v>
      </c>
      <c r="H84" s="4" t="s">
        <v>44</v>
      </c>
      <c r="I84" s="4"/>
      <c r="J84" s="4"/>
      <c r="K84" s="4">
        <v>205</v>
      </c>
      <c r="L84" s="4">
        <v>14</v>
      </c>
      <c r="M84" s="4">
        <v>3</v>
      </c>
      <c r="N84" s="4" t="s">
        <v>3</v>
      </c>
      <c r="O84" s="4">
        <v>2</v>
      </c>
      <c r="P84" s="4"/>
      <c r="Q84" s="4"/>
      <c r="R84" s="4"/>
      <c r="S84" s="4"/>
      <c r="T84" s="4"/>
      <c r="U84" s="4"/>
      <c r="V84" s="4"/>
      <c r="W84" s="4">
        <v>928455.89000000013</v>
      </c>
      <c r="X84" s="4">
        <v>1</v>
      </c>
      <c r="Y84" s="4">
        <v>928455.89000000013</v>
      </c>
      <c r="Z84" s="4"/>
      <c r="AA84" s="4"/>
      <c r="AB84" s="4"/>
    </row>
    <row r="85" spans="1:28" x14ac:dyDescent="0.2">
      <c r="A85" s="4">
        <v>50</v>
      </c>
      <c r="B85" s="4">
        <v>0</v>
      </c>
      <c r="C85" s="4">
        <v>0</v>
      </c>
      <c r="D85" s="4">
        <v>1</v>
      </c>
      <c r="E85" s="4">
        <v>232</v>
      </c>
      <c r="F85" s="4">
        <f>ROUND(Source!BC69,O85)</f>
        <v>0</v>
      </c>
      <c r="G85" s="4" t="s">
        <v>45</v>
      </c>
      <c r="H85" s="4" t="s">
        <v>46</v>
      </c>
      <c r="I85" s="4"/>
      <c r="J85" s="4"/>
      <c r="K85" s="4">
        <v>232</v>
      </c>
      <c r="L85" s="4">
        <v>15</v>
      </c>
      <c r="M85" s="4">
        <v>3</v>
      </c>
      <c r="N85" s="4" t="s">
        <v>3</v>
      </c>
      <c r="O85" s="4">
        <v>2</v>
      </c>
      <c r="P85" s="4"/>
      <c r="Q85" s="4"/>
      <c r="R85" s="4"/>
      <c r="S85" s="4"/>
      <c r="T85" s="4"/>
      <c r="U85" s="4"/>
      <c r="V85" s="4"/>
      <c r="W85" s="4">
        <v>0</v>
      </c>
      <c r="X85" s="4">
        <v>1</v>
      </c>
      <c r="Y85" s="4">
        <v>0</v>
      </c>
      <c r="Z85" s="4"/>
      <c r="AA85" s="4"/>
      <c r="AB85" s="4"/>
    </row>
    <row r="86" spans="1:28" x14ac:dyDescent="0.2">
      <c r="A86" s="4">
        <v>50</v>
      </c>
      <c r="B86" s="4">
        <v>0</v>
      </c>
      <c r="C86" s="4">
        <v>0</v>
      </c>
      <c r="D86" s="4">
        <v>1</v>
      </c>
      <c r="E86" s="4">
        <v>214</v>
      </c>
      <c r="F86" s="4">
        <f>ROUND(Source!AS69,O86)</f>
        <v>2527837.3199999998</v>
      </c>
      <c r="G86" s="4" t="s">
        <v>47</v>
      </c>
      <c r="H86" s="4" t="s">
        <v>48</v>
      </c>
      <c r="I86" s="4"/>
      <c r="J86" s="4"/>
      <c r="K86" s="4">
        <v>214</v>
      </c>
      <c r="L86" s="4">
        <v>16</v>
      </c>
      <c r="M86" s="4">
        <v>3</v>
      </c>
      <c r="N86" s="4" t="s">
        <v>3</v>
      </c>
      <c r="O86" s="4">
        <v>2</v>
      </c>
      <c r="P86" s="4"/>
      <c r="Q86" s="4"/>
      <c r="R86" s="4"/>
      <c r="S86" s="4"/>
      <c r="T86" s="4"/>
      <c r="U86" s="4"/>
      <c r="V86" s="4"/>
      <c r="W86" s="4">
        <v>2527837.3199999998</v>
      </c>
      <c r="X86" s="4">
        <v>1</v>
      </c>
      <c r="Y86" s="4">
        <v>2527837.3199999998</v>
      </c>
      <c r="Z86" s="4"/>
      <c r="AA86" s="4"/>
      <c r="AB86" s="4"/>
    </row>
    <row r="87" spans="1:28" x14ac:dyDescent="0.2">
      <c r="A87" s="4">
        <v>50</v>
      </c>
      <c r="B87" s="4">
        <v>0</v>
      </c>
      <c r="C87" s="4">
        <v>0</v>
      </c>
      <c r="D87" s="4">
        <v>1</v>
      </c>
      <c r="E87" s="4">
        <v>215</v>
      </c>
      <c r="F87" s="4">
        <f>ROUND(Source!AT69,O87)</f>
        <v>0</v>
      </c>
      <c r="G87" s="4" t="s">
        <v>49</v>
      </c>
      <c r="H87" s="4" t="s">
        <v>50</v>
      </c>
      <c r="I87" s="4"/>
      <c r="J87" s="4"/>
      <c r="K87" s="4">
        <v>215</v>
      </c>
      <c r="L87" s="4">
        <v>17</v>
      </c>
      <c r="M87" s="4">
        <v>3</v>
      </c>
      <c r="N87" s="4" t="s">
        <v>3</v>
      </c>
      <c r="O87" s="4">
        <v>2</v>
      </c>
      <c r="P87" s="4"/>
      <c r="Q87" s="4"/>
      <c r="R87" s="4"/>
      <c r="S87" s="4"/>
      <c r="T87" s="4"/>
      <c r="U87" s="4"/>
      <c r="V87" s="4"/>
      <c r="W87" s="4">
        <v>0</v>
      </c>
      <c r="X87" s="4">
        <v>1</v>
      </c>
      <c r="Y87" s="4">
        <v>0</v>
      </c>
      <c r="Z87" s="4"/>
      <c r="AA87" s="4"/>
      <c r="AB87" s="4"/>
    </row>
    <row r="88" spans="1:28" x14ac:dyDescent="0.2">
      <c r="A88" s="4">
        <v>50</v>
      </c>
      <c r="B88" s="4">
        <v>0</v>
      </c>
      <c r="C88" s="4">
        <v>0</v>
      </c>
      <c r="D88" s="4">
        <v>1</v>
      </c>
      <c r="E88" s="4">
        <v>217</v>
      </c>
      <c r="F88" s="4">
        <f>ROUND(Source!AU69,O88)</f>
        <v>0</v>
      </c>
      <c r="G88" s="4" t="s">
        <v>51</v>
      </c>
      <c r="H88" s="4" t="s">
        <v>52</v>
      </c>
      <c r="I88" s="4"/>
      <c r="J88" s="4"/>
      <c r="K88" s="4">
        <v>217</v>
      </c>
      <c r="L88" s="4">
        <v>18</v>
      </c>
      <c r="M88" s="4">
        <v>3</v>
      </c>
      <c r="N88" s="4" t="s">
        <v>3</v>
      </c>
      <c r="O88" s="4">
        <v>2</v>
      </c>
      <c r="P88" s="4"/>
      <c r="Q88" s="4"/>
      <c r="R88" s="4"/>
      <c r="S88" s="4"/>
      <c r="T88" s="4"/>
      <c r="U88" s="4"/>
      <c r="V88" s="4"/>
      <c r="W88" s="4">
        <v>0</v>
      </c>
      <c r="X88" s="4">
        <v>1</v>
      </c>
      <c r="Y88" s="4">
        <v>0</v>
      </c>
      <c r="Z88" s="4"/>
      <c r="AA88" s="4"/>
      <c r="AB88" s="4"/>
    </row>
    <row r="89" spans="1:28" x14ac:dyDescent="0.2">
      <c r="A89" s="4">
        <v>50</v>
      </c>
      <c r="B89" s="4">
        <v>0</v>
      </c>
      <c r="C89" s="4">
        <v>0</v>
      </c>
      <c r="D89" s="4">
        <v>1</v>
      </c>
      <c r="E89" s="4">
        <v>230</v>
      </c>
      <c r="F89" s="4">
        <f>ROUND(Source!BA69,O89)</f>
        <v>0</v>
      </c>
      <c r="G89" s="4" t="s">
        <v>53</v>
      </c>
      <c r="H89" s="4" t="s">
        <v>54</v>
      </c>
      <c r="I89" s="4"/>
      <c r="J89" s="4"/>
      <c r="K89" s="4">
        <v>230</v>
      </c>
      <c r="L89" s="4">
        <v>19</v>
      </c>
      <c r="M89" s="4">
        <v>3</v>
      </c>
      <c r="N89" s="4" t="s">
        <v>3</v>
      </c>
      <c r="O89" s="4">
        <v>2</v>
      </c>
      <c r="P89" s="4"/>
      <c r="Q89" s="4"/>
      <c r="R89" s="4"/>
      <c r="S89" s="4"/>
      <c r="T89" s="4"/>
      <c r="U89" s="4"/>
      <c r="V89" s="4"/>
      <c r="W89" s="4">
        <v>0</v>
      </c>
      <c r="X89" s="4">
        <v>1</v>
      </c>
      <c r="Y89" s="4">
        <v>0</v>
      </c>
      <c r="Z89" s="4"/>
      <c r="AA89" s="4"/>
      <c r="AB89" s="4"/>
    </row>
    <row r="90" spans="1:28" x14ac:dyDescent="0.2">
      <c r="A90" s="4">
        <v>50</v>
      </c>
      <c r="B90" s="4">
        <v>0</v>
      </c>
      <c r="C90" s="4">
        <v>0</v>
      </c>
      <c r="D90" s="4">
        <v>1</v>
      </c>
      <c r="E90" s="4">
        <v>206</v>
      </c>
      <c r="F90" s="4">
        <f>ROUND(Source!T69,O90)</f>
        <v>0</v>
      </c>
      <c r="G90" s="4" t="s">
        <v>55</v>
      </c>
      <c r="H90" s="4" t="s">
        <v>56</v>
      </c>
      <c r="I90" s="4"/>
      <c r="J90" s="4"/>
      <c r="K90" s="4">
        <v>206</v>
      </c>
      <c r="L90" s="4">
        <v>20</v>
      </c>
      <c r="M90" s="4">
        <v>3</v>
      </c>
      <c r="N90" s="4" t="s">
        <v>3</v>
      </c>
      <c r="O90" s="4">
        <v>2</v>
      </c>
      <c r="P90" s="4"/>
      <c r="Q90" s="4"/>
      <c r="R90" s="4"/>
      <c r="S90" s="4"/>
      <c r="T90" s="4"/>
      <c r="U90" s="4"/>
      <c r="V90" s="4"/>
      <c r="W90" s="4">
        <v>0</v>
      </c>
      <c r="X90" s="4">
        <v>1</v>
      </c>
      <c r="Y90" s="4">
        <v>0</v>
      </c>
      <c r="Z90" s="4"/>
      <c r="AA90" s="4"/>
      <c r="AB90" s="4"/>
    </row>
    <row r="91" spans="1:28" x14ac:dyDescent="0.2">
      <c r="A91" s="4">
        <v>50</v>
      </c>
      <c r="B91" s="4">
        <v>0</v>
      </c>
      <c r="C91" s="4">
        <v>0</v>
      </c>
      <c r="D91" s="4">
        <v>1</v>
      </c>
      <c r="E91" s="4">
        <v>207</v>
      </c>
      <c r="F91" s="4">
        <f>ROUND(Source!U69,O91)</f>
        <v>2341.7592</v>
      </c>
      <c r="G91" s="4" t="s">
        <v>57</v>
      </c>
      <c r="H91" s="4" t="s">
        <v>58</v>
      </c>
      <c r="I91" s="4"/>
      <c r="J91" s="4"/>
      <c r="K91" s="4">
        <v>207</v>
      </c>
      <c r="L91" s="4">
        <v>21</v>
      </c>
      <c r="M91" s="4">
        <v>3</v>
      </c>
      <c r="N91" s="4" t="s">
        <v>3</v>
      </c>
      <c r="O91" s="4">
        <v>7</v>
      </c>
      <c r="P91" s="4"/>
      <c r="Q91" s="4"/>
      <c r="R91" s="4"/>
      <c r="S91" s="4"/>
      <c r="T91" s="4"/>
      <c r="U91" s="4"/>
      <c r="V91" s="4"/>
      <c r="W91" s="4">
        <v>2341.7592</v>
      </c>
      <c r="X91" s="4">
        <v>1</v>
      </c>
      <c r="Y91" s="4">
        <v>2341.7592</v>
      </c>
      <c r="Z91" s="4"/>
      <c r="AA91" s="4"/>
      <c r="AB91" s="4"/>
    </row>
    <row r="92" spans="1:28" x14ac:dyDescent="0.2">
      <c r="A92" s="4">
        <v>50</v>
      </c>
      <c r="B92" s="4">
        <v>0</v>
      </c>
      <c r="C92" s="4">
        <v>0</v>
      </c>
      <c r="D92" s="4">
        <v>1</v>
      </c>
      <c r="E92" s="4">
        <v>208</v>
      </c>
      <c r="F92" s="4">
        <f>ROUND(Source!V69,O92)</f>
        <v>17.16</v>
      </c>
      <c r="G92" s="4" t="s">
        <v>59</v>
      </c>
      <c r="H92" s="4" t="s">
        <v>60</v>
      </c>
      <c r="I92" s="4"/>
      <c r="J92" s="4"/>
      <c r="K92" s="4">
        <v>208</v>
      </c>
      <c r="L92" s="4">
        <v>22</v>
      </c>
      <c r="M92" s="4">
        <v>3</v>
      </c>
      <c r="N92" s="4" t="s">
        <v>3</v>
      </c>
      <c r="O92" s="4">
        <v>7</v>
      </c>
      <c r="P92" s="4"/>
      <c r="Q92" s="4"/>
      <c r="R92" s="4"/>
      <c r="S92" s="4"/>
      <c r="T92" s="4"/>
      <c r="U92" s="4"/>
      <c r="V92" s="4"/>
      <c r="W92" s="4">
        <v>17.16</v>
      </c>
      <c r="X92" s="4">
        <v>1</v>
      </c>
      <c r="Y92" s="4">
        <v>17.16</v>
      </c>
      <c r="Z92" s="4"/>
      <c r="AA92" s="4"/>
      <c r="AB92" s="4"/>
    </row>
    <row r="93" spans="1:28" x14ac:dyDescent="0.2">
      <c r="A93" s="4">
        <v>50</v>
      </c>
      <c r="B93" s="4">
        <v>0</v>
      </c>
      <c r="C93" s="4">
        <v>0</v>
      </c>
      <c r="D93" s="4">
        <v>1</v>
      </c>
      <c r="E93" s="4">
        <v>209</v>
      </c>
      <c r="F93" s="4">
        <f>ROUND(Source!W69,O93)</f>
        <v>0</v>
      </c>
      <c r="G93" s="4" t="s">
        <v>61</v>
      </c>
      <c r="H93" s="4" t="s">
        <v>62</v>
      </c>
      <c r="I93" s="4"/>
      <c r="J93" s="4"/>
      <c r="K93" s="4">
        <v>209</v>
      </c>
      <c r="L93" s="4">
        <v>23</v>
      </c>
      <c r="M93" s="4">
        <v>3</v>
      </c>
      <c r="N93" s="4" t="s">
        <v>3</v>
      </c>
      <c r="O93" s="4">
        <v>2</v>
      </c>
      <c r="P93" s="4"/>
      <c r="Q93" s="4"/>
      <c r="R93" s="4"/>
      <c r="S93" s="4"/>
      <c r="T93" s="4"/>
      <c r="U93" s="4"/>
      <c r="V93" s="4"/>
      <c r="W93" s="4">
        <v>0</v>
      </c>
      <c r="X93" s="4">
        <v>1</v>
      </c>
      <c r="Y93" s="4">
        <v>0</v>
      </c>
      <c r="Z93" s="4"/>
      <c r="AA93" s="4"/>
      <c r="AB93" s="4"/>
    </row>
    <row r="94" spans="1:28" x14ac:dyDescent="0.2">
      <c r="A94" s="4">
        <v>50</v>
      </c>
      <c r="B94" s="4">
        <v>0</v>
      </c>
      <c r="C94" s="4">
        <v>0</v>
      </c>
      <c r="D94" s="4">
        <v>1</v>
      </c>
      <c r="E94" s="4">
        <v>233</v>
      </c>
      <c r="F94" s="4">
        <f>ROUND(Source!BD69,O94)</f>
        <v>0</v>
      </c>
      <c r="G94" s="4" t="s">
        <v>63</v>
      </c>
      <c r="H94" s="4" t="s">
        <v>64</v>
      </c>
      <c r="I94" s="4"/>
      <c r="J94" s="4"/>
      <c r="K94" s="4">
        <v>233</v>
      </c>
      <c r="L94" s="4">
        <v>24</v>
      </c>
      <c r="M94" s="4">
        <v>3</v>
      </c>
      <c r="N94" s="4" t="s">
        <v>3</v>
      </c>
      <c r="O94" s="4">
        <v>2</v>
      </c>
      <c r="P94" s="4"/>
      <c r="Q94" s="4"/>
      <c r="R94" s="4"/>
      <c r="S94" s="4"/>
      <c r="T94" s="4"/>
      <c r="U94" s="4"/>
      <c r="V94" s="4"/>
      <c r="W94" s="4">
        <v>0</v>
      </c>
      <c r="X94" s="4">
        <v>1</v>
      </c>
      <c r="Y94" s="4">
        <v>0</v>
      </c>
      <c r="Z94" s="4"/>
      <c r="AA94" s="4"/>
      <c r="AB94" s="4"/>
    </row>
    <row r="95" spans="1:28" x14ac:dyDescent="0.2">
      <c r="A95" s="4">
        <v>50</v>
      </c>
      <c r="B95" s="4">
        <v>0</v>
      </c>
      <c r="C95" s="4">
        <v>0</v>
      </c>
      <c r="D95" s="4">
        <v>1</v>
      </c>
      <c r="E95" s="4">
        <v>210</v>
      </c>
      <c r="F95" s="4">
        <f>ROUND(Source!X69,O95)</f>
        <v>869259.93</v>
      </c>
      <c r="G95" s="4" t="s">
        <v>65</v>
      </c>
      <c r="H95" s="4" t="s">
        <v>66</v>
      </c>
      <c r="I95" s="4"/>
      <c r="J95" s="4"/>
      <c r="K95" s="4">
        <v>210</v>
      </c>
      <c r="L95" s="4">
        <v>25</v>
      </c>
      <c r="M95" s="4">
        <v>3</v>
      </c>
      <c r="N95" s="4" t="s">
        <v>3</v>
      </c>
      <c r="O95" s="4">
        <v>2</v>
      </c>
      <c r="P95" s="4"/>
      <c r="Q95" s="4"/>
      <c r="R95" s="4"/>
      <c r="S95" s="4"/>
      <c r="T95" s="4"/>
      <c r="U95" s="4"/>
      <c r="V95" s="4"/>
      <c r="W95" s="4">
        <v>869259.93</v>
      </c>
      <c r="X95" s="4">
        <v>1</v>
      </c>
      <c r="Y95" s="4">
        <v>869259.93</v>
      </c>
      <c r="Z95" s="4"/>
      <c r="AA95" s="4"/>
      <c r="AB95" s="4"/>
    </row>
    <row r="96" spans="1:28" x14ac:dyDescent="0.2">
      <c r="A96" s="4">
        <v>50</v>
      </c>
      <c r="B96" s="4">
        <v>0</v>
      </c>
      <c r="C96" s="4">
        <v>0</v>
      </c>
      <c r="D96" s="4">
        <v>1</v>
      </c>
      <c r="E96" s="4">
        <v>211</v>
      </c>
      <c r="F96" s="4">
        <f>ROUND(Source!Y69,O96)</f>
        <v>455760.51</v>
      </c>
      <c r="G96" s="4" t="s">
        <v>67</v>
      </c>
      <c r="H96" s="4" t="s">
        <v>68</v>
      </c>
      <c r="I96" s="4"/>
      <c r="J96" s="4"/>
      <c r="K96" s="4">
        <v>211</v>
      </c>
      <c r="L96" s="4">
        <v>26</v>
      </c>
      <c r="M96" s="4">
        <v>3</v>
      </c>
      <c r="N96" s="4" t="s">
        <v>3</v>
      </c>
      <c r="O96" s="4">
        <v>2</v>
      </c>
      <c r="P96" s="4"/>
      <c r="Q96" s="4"/>
      <c r="R96" s="4"/>
      <c r="S96" s="4"/>
      <c r="T96" s="4"/>
      <c r="U96" s="4"/>
      <c r="V96" s="4"/>
      <c r="W96" s="4">
        <v>455760.51</v>
      </c>
      <c r="X96" s="4">
        <v>1</v>
      </c>
      <c r="Y96" s="4">
        <v>455760.51</v>
      </c>
      <c r="Z96" s="4"/>
      <c r="AA96" s="4"/>
      <c r="AB96" s="4"/>
    </row>
    <row r="97" spans="1:245" x14ac:dyDescent="0.2">
      <c r="A97" s="4">
        <v>50</v>
      </c>
      <c r="B97" s="4">
        <v>0</v>
      </c>
      <c r="C97" s="4">
        <v>0</v>
      </c>
      <c r="D97" s="4">
        <v>1</v>
      </c>
      <c r="E97" s="4">
        <v>224</v>
      </c>
      <c r="F97" s="4">
        <f>ROUND(Source!AR69,O97)</f>
        <v>2527837.3199999998</v>
      </c>
      <c r="G97" s="4" t="s">
        <v>69</v>
      </c>
      <c r="H97" s="4" t="s">
        <v>70</v>
      </c>
      <c r="I97" s="4"/>
      <c r="J97" s="4"/>
      <c r="K97" s="4">
        <v>224</v>
      </c>
      <c r="L97" s="4">
        <v>27</v>
      </c>
      <c r="M97" s="4">
        <v>3</v>
      </c>
      <c r="N97" s="4" t="s">
        <v>3</v>
      </c>
      <c r="O97" s="4">
        <v>2</v>
      </c>
      <c r="P97" s="4"/>
      <c r="Q97" s="4"/>
      <c r="R97" s="4"/>
      <c r="S97" s="4"/>
      <c r="T97" s="4"/>
      <c r="U97" s="4"/>
      <c r="V97" s="4"/>
      <c r="W97" s="4">
        <v>2527837.3200000003</v>
      </c>
      <c r="X97" s="4">
        <v>1</v>
      </c>
      <c r="Y97" s="4">
        <v>2527837.3200000003</v>
      </c>
      <c r="Z97" s="4"/>
      <c r="AA97" s="4"/>
      <c r="AB97" s="4"/>
    </row>
    <row r="99" spans="1:245" x14ac:dyDescent="0.2">
      <c r="A99" s="1">
        <v>4</v>
      </c>
      <c r="B99" s="1">
        <v>1</v>
      </c>
      <c r="C99" s="1"/>
      <c r="D99" s="1">
        <f>ROW(A106)</f>
        <v>106</v>
      </c>
      <c r="E99" s="1"/>
      <c r="F99" s="1" t="s">
        <v>72</v>
      </c>
      <c r="G99" s="1" t="s">
        <v>119</v>
      </c>
      <c r="H99" s="1" t="s">
        <v>3</v>
      </c>
      <c r="I99" s="1">
        <v>0</v>
      </c>
      <c r="J99" s="1"/>
      <c r="K99" s="1">
        <v>0</v>
      </c>
      <c r="L99" s="1"/>
      <c r="M99" s="1" t="s">
        <v>3</v>
      </c>
      <c r="N99" s="1"/>
      <c r="O99" s="1"/>
      <c r="P99" s="1"/>
      <c r="Q99" s="1"/>
      <c r="R99" s="1"/>
      <c r="S99" s="1">
        <v>0</v>
      </c>
      <c r="T99" s="1"/>
      <c r="U99" s="1" t="s">
        <v>3</v>
      </c>
      <c r="V99" s="1">
        <v>0</v>
      </c>
      <c r="W99" s="1"/>
      <c r="X99" s="1"/>
      <c r="Y99" s="1"/>
      <c r="Z99" s="1"/>
      <c r="AA99" s="1"/>
      <c r="AB99" s="1" t="s">
        <v>3</v>
      </c>
      <c r="AC99" s="1" t="s">
        <v>3</v>
      </c>
      <c r="AD99" s="1" t="s">
        <v>3</v>
      </c>
      <c r="AE99" s="1" t="s">
        <v>3</v>
      </c>
      <c r="AF99" s="1" t="s">
        <v>3</v>
      </c>
      <c r="AG99" s="1" t="s">
        <v>3</v>
      </c>
      <c r="AH99" s="1"/>
      <c r="AI99" s="1"/>
      <c r="AJ99" s="1"/>
      <c r="AK99" s="1"/>
      <c r="AL99" s="1"/>
      <c r="AM99" s="1"/>
      <c r="AN99" s="1"/>
      <c r="AO99" s="1"/>
      <c r="AP99" s="1" t="s">
        <v>3</v>
      </c>
      <c r="AQ99" s="1" t="s">
        <v>3</v>
      </c>
      <c r="AR99" s="1" t="s">
        <v>3</v>
      </c>
      <c r="AS99" s="1"/>
      <c r="AT99" s="1"/>
      <c r="AU99" s="1"/>
      <c r="AV99" s="1"/>
      <c r="AW99" s="1"/>
      <c r="AX99" s="1"/>
      <c r="AY99" s="1"/>
      <c r="AZ99" s="1" t="s">
        <v>3</v>
      </c>
      <c r="BA99" s="1"/>
      <c r="BB99" s="1" t="s">
        <v>3</v>
      </c>
      <c r="BC99" s="1" t="s">
        <v>3</v>
      </c>
      <c r="BD99" s="1" t="s">
        <v>3</v>
      </c>
      <c r="BE99" s="1" t="s">
        <v>3</v>
      </c>
      <c r="BF99" s="1" t="s">
        <v>3</v>
      </c>
      <c r="BG99" s="1" t="s">
        <v>3</v>
      </c>
      <c r="BH99" s="1" t="s">
        <v>3</v>
      </c>
      <c r="BI99" s="1" t="s">
        <v>3</v>
      </c>
      <c r="BJ99" s="1" t="s">
        <v>3</v>
      </c>
      <c r="BK99" s="1" t="s">
        <v>3</v>
      </c>
      <c r="BL99" s="1" t="s">
        <v>3</v>
      </c>
      <c r="BM99" s="1" t="s">
        <v>3</v>
      </c>
      <c r="BN99" s="1" t="s">
        <v>3</v>
      </c>
      <c r="BO99" s="1" t="s">
        <v>3</v>
      </c>
      <c r="BP99" s="1" t="s">
        <v>3</v>
      </c>
      <c r="BQ99" s="1"/>
      <c r="BR99" s="1"/>
      <c r="BS99" s="1"/>
      <c r="BT99" s="1"/>
      <c r="BU99" s="1"/>
      <c r="BV99" s="1"/>
      <c r="BW99" s="1"/>
      <c r="BX99" s="1">
        <v>0</v>
      </c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>
        <v>0</v>
      </c>
    </row>
    <row r="101" spans="1:245" x14ac:dyDescent="0.2">
      <c r="A101" s="2">
        <v>52</v>
      </c>
      <c r="B101" s="2">
        <f t="shared" ref="B101:G101" si="53">B106</f>
        <v>1</v>
      </c>
      <c r="C101" s="2">
        <f t="shared" si="53"/>
        <v>4</v>
      </c>
      <c r="D101" s="2">
        <f t="shared" si="53"/>
        <v>99</v>
      </c>
      <c r="E101" s="2">
        <f t="shared" si="53"/>
        <v>0</v>
      </c>
      <c r="F101" s="2" t="str">
        <f t="shared" si="53"/>
        <v>Новый раздел</v>
      </c>
      <c r="G101" s="2" t="str">
        <f t="shared" si="53"/>
        <v>Демонтажные работы</v>
      </c>
      <c r="H101" s="2"/>
      <c r="I101" s="2"/>
      <c r="J101" s="2"/>
      <c r="K101" s="2"/>
      <c r="L101" s="2"/>
      <c r="M101" s="2"/>
      <c r="N101" s="2"/>
      <c r="O101" s="2">
        <f t="shared" ref="O101:AT101" si="54">O106</f>
        <v>110900.27</v>
      </c>
      <c r="P101" s="2">
        <f t="shared" si="54"/>
        <v>0</v>
      </c>
      <c r="Q101" s="2">
        <f t="shared" si="54"/>
        <v>22955.29</v>
      </c>
      <c r="R101" s="2">
        <f t="shared" si="54"/>
        <v>12037.92</v>
      </c>
      <c r="S101" s="2">
        <f t="shared" si="54"/>
        <v>75907.06</v>
      </c>
      <c r="T101" s="2">
        <f t="shared" si="54"/>
        <v>0</v>
      </c>
      <c r="U101" s="2">
        <f t="shared" si="54"/>
        <v>158.28479999999999</v>
      </c>
      <c r="V101" s="2">
        <f t="shared" si="54"/>
        <v>20.944800000000001</v>
      </c>
      <c r="W101" s="2">
        <f t="shared" si="54"/>
        <v>0</v>
      </c>
      <c r="X101" s="2">
        <f t="shared" si="54"/>
        <v>85306.63</v>
      </c>
      <c r="Y101" s="2">
        <f t="shared" si="54"/>
        <v>44851.94</v>
      </c>
      <c r="Z101" s="2">
        <f t="shared" si="54"/>
        <v>0</v>
      </c>
      <c r="AA101" s="2">
        <f t="shared" si="54"/>
        <v>0</v>
      </c>
      <c r="AB101" s="2">
        <f t="shared" si="54"/>
        <v>110900.27</v>
      </c>
      <c r="AC101" s="2">
        <f t="shared" si="54"/>
        <v>0</v>
      </c>
      <c r="AD101" s="2">
        <f t="shared" si="54"/>
        <v>22955.29</v>
      </c>
      <c r="AE101" s="2">
        <f t="shared" si="54"/>
        <v>12037.92</v>
      </c>
      <c r="AF101" s="2">
        <f t="shared" si="54"/>
        <v>75907.06</v>
      </c>
      <c r="AG101" s="2">
        <f t="shared" si="54"/>
        <v>0</v>
      </c>
      <c r="AH101" s="2">
        <f t="shared" si="54"/>
        <v>158.28479999999999</v>
      </c>
      <c r="AI101" s="2">
        <f t="shared" si="54"/>
        <v>20.944800000000001</v>
      </c>
      <c r="AJ101" s="2">
        <f t="shared" si="54"/>
        <v>0</v>
      </c>
      <c r="AK101" s="2">
        <f t="shared" si="54"/>
        <v>85306.63</v>
      </c>
      <c r="AL101" s="2">
        <f t="shared" si="54"/>
        <v>44851.94</v>
      </c>
      <c r="AM101" s="2">
        <f t="shared" si="54"/>
        <v>0</v>
      </c>
      <c r="AN101" s="2">
        <f t="shared" si="54"/>
        <v>0</v>
      </c>
      <c r="AO101" s="2">
        <f t="shared" si="54"/>
        <v>0</v>
      </c>
      <c r="AP101" s="2">
        <f t="shared" si="54"/>
        <v>0</v>
      </c>
      <c r="AQ101" s="2">
        <f t="shared" si="54"/>
        <v>0</v>
      </c>
      <c r="AR101" s="2">
        <f t="shared" si="54"/>
        <v>241058.84</v>
      </c>
      <c r="AS101" s="2">
        <f t="shared" si="54"/>
        <v>0</v>
      </c>
      <c r="AT101" s="2">
        <f t="shared" si="54"/>
        <v>241058.84</v>
      </c>
      <c r="AU101" s="2">
        <f t="shared" ref="AU101:BZ101" si="55">AU106</f>
        <v>0</v>
      </c>
      <c r="AV101" s="2">
        <f t="shared" si="55"/>
        <v>0</v>
      </c>
      <c r="AW101" s="2">
        <f t="shared" si="55"/>
        <v>0</v>
      </c>
      <c r="AX101" s="2">
        <f t="shared" si="55"/>
        <v>0</v>
      </c>
      <c r="AY101" s="2">
        <f t="shared" si="55"/>
        <v>0</v>
      </c>
      <c r="AZ101" s="2">
        <f t="shared" si="55"/>
        <v>0</v>
      </c>
      <c r="BA101" s="2">
        <f t="shared" si="55"/>
        <v>0</v>
      </c>
      <c r="BB101" s="2">
        <f t="shared" si="55"/>
        <v>0</v>
      </c>
      <c r="BC101" s="2">
        <f t="shared" si="55"/>
        <v>0</v>
      </c>
      <c r="BD101" s="2">
        <f t="shared" si="55"/>
        <v>0</v>
      </c>
      <c r="BE101" s="2">
        <f t="shared" si="55"/>
        <v>0</v>
      </c>
      <c r="BF101" s="2">
        <f t="shared" si="55"/>
        <v>0</v>
      </c>
      <c r="BG101" s="2">
        <f t="shared" si="55"/>
        <v>0</v>
      </c>
      <c r="BH101" s="2">
        <f t="shared" si="55"/>
        <v>0</v>
      </c>
      <c r="BI101" s="2">
        <f t="shared" si="55"/>
        <v>0</v>
      </c>
      <c r="BJ101" s="2">
        <f t="shared" si="55"/>
        <v>0</v>
      </c>
      <c r="BK101" s="2">
        <f t="shared" si="55"/>
        <v>0</v>
      </c>
      <c r="BL101" s="2">
        <f t="shared" si="55"/>
        <v>0</v>
      </c>
      <c r="BM101" s="2">
        <f t="shared" si="55"/>
        <v>0</v>
      </c>
      <c r="BN101" s="2">
        <f t="shared" si="55"/>
        <v>0</v>
      </c>
      <c r="BO101" s="2">
        <f t="shared" si="55"/>
        <v>0</v>
      </c>
      <c r="BP101" s="2">
        <f t="shared" si="55"/>
        <v>0</v>
      </c>
      <c r="BQ101" s="2">
        <f t="shared" si="55"/>
        <v>0</v>
      </c>
      <c r="BR101" s="2">
        <f t="shared" si="55"/>
        <v>0</v>
      </c>
      <c r="BS101" s="2">
        <f t="shared" si="55"/>
        <v>0</v>
      </c>
      <c r="BT101" s="2">
        <f t="shared" si="55"/>
        <v>0</v>
      </c>
      <c r="BU101" s="2">
        <f t="shared" si="55"/>
        <v>0</v>
      </c>
      <c r="BV101" s="2">
        <f t="shared" si="55"/>
        <v>0</v>
      </c>
      <c r="BW101" s="2">
        <f t="shared" si="55"/>
        <v>0</v>
      </c>
      <c r="BX101" s="2">
        <f t="shared" si="55"/>
        <v>0</v>
      </c>
      <c r="BY101" s="2">
        <f t="shared" si="55"/>
        <v>0</v>
      </c>
      <c r="BZ101" s="2">
        <f t="shared" si="55"/>
        <v>0</v>
      </c>
      <c r="CA101" s="2">
        <f t="shared" ref="CA101:DF101" si="56">CA106</f>
        <v>241058.84</v>
      </c>
      <c r="CB101" s="2">
        <f t="shared" si="56"/>
        <v>0</v>
      </c>
      <c r="CC101" s="2">
        <f t="shared" si="56"/>
        <v>241058.84</v>
      </c>
      <c r="CD101" s="2">
        <f t="shared" si="56"/>
        <v>0</v>
      </c>
      <c r="CE101" s="2">
        <f t="shared" si="56"/>
        <v>0</v>
      </c>
      <c r="CF101" s="2">
        <f t="shared" si="56"/>
        <v>0</v>
      </c>
      <c r="CG101" s="2">
        <f t="shared" si="56"/>
        <v>0</v>
      </c>
      <c r="CH101" s="2">
        <f t="shared" si="56"/>
        <v>0</v>
      </c>
      <c r="CI101" s="2">
        <f t="shared" si="56"/>
        <v>0</v>
      </c>
      <c r="CJ101" s="2">
        <f t="shared" si="56"/>
        <v>0</v>
      </c>
      <c r="CK101" s="2">
        <f t="shared" si="56"/>
        <v>0</v>
      </c>
      <c r="CL101" s="2">
        <f t="shared" si="56"/>
        <v>0</v>
      </c>
      <c r="CM101" s="2">
        <f t="shared" si="56"/>
        <v>0</v>
      </c>
      <c r="CN101" s="2">
        <f t="shared" si="56"/>
        <v>0</v>
      </c>
      <c r="CO101" s="2">
        <f t="shared" si="56"/>
        <v>0</v>
      </c>
      <c r="CP101" s="2">
        <f t="shared" si="56"/>
        <v>0</v>
      </c>
      <c r="CQ101" s="2">
        <f t="shared" si="56"/>
        <v>0</v>
      </c>
      <c r="CR101" s="2">
        <f t="shared" si="56"/>
        <v>0</v>
      </c>
      <c r="CS101" s="2">
        <f t="shared" si="56"/>
        <v>0</v>
      </c>
      <c r="CT101" s="2">
        <f t="shared" si="56"/>
        <v>0</v>
      </c>
      <c r="CU101" s="2">
        <f t="shared" si="56"/>
        <v>0</v>
      </c>
      <c r="CV101" s="2">
        <f t="shared" si="56"/>
        <v>0</v>
      </c>
      <c r="CW101" s="2">
        <f t="shared" si="56"/>
        <v>0</v>
      </c>
      <c r="CX101" s="2">
        <f t="shared" si="56"/>
        <v>0</v>
      </c>
      <c r="CY101" s="2">
        <f t="shared" si="56"/>
        <v>0</v>
      </c>
      <c r="CZ101" s="2">
        <f t="shared" si="56"/>
        <v>0</v>
      </c>
      <c r="DA101" s="2">
        <f t="shared" si="56"/>
        <v>0</v>
      </c>
      <c r="DB101" s="2">
        <f t="shared" si="56"/>
        <v>0</v>
      </c>
      <c r="DC101" s="2">
        <f t="shared" si="56"/>
        <v>0</v>
      </c>
      <c r="DD101" s="2">
        <f t="shared" si="56"/>
        <v>0</v>
      </c>
      <c r="DE101" s="2">
        <f t="shared" si="56"/>
        <v>0</v>
      </c>
      <c r="DF101" s="2">
        <f t="shared" si="56"/>
        <v>0</v>
      </c>
      <c r="DG101" s="3">
        <f t="shared" ref="DG101:EL101" si="57">DG106</f>
        <v>0</v>
      </c>
      <c r="DH101" s="3">
        <f t="shared" si="57"/>
        <v>0</v>
      </c>
      <c r="DI101" s="3">
        <f t="shared" si="57"/>
        <v>0</v>
      </c>
      <c r="DJ101" s="3">
        <f t="shared" si="57"/>
        <v>0</v>
      </c>
      <c r="DK101" s="3">
        <f t="shared" si="57"/>
        <v>0</v>
      </c>
      <c r="DL101" s="3">
        <f t="shared" si="57"/>
        <v>0</v>
      </c>
      <c r="DM101" s="3">
        <f t="shared" si="57"/>
        <v>0</v>
      </c>
      <c r="DN101" s="3">
        <f t="shared" si="57"/>
        <v>0</v>
      </c>
      <c r="DO101" s="3">
        <f t="shared" si="57"/>
        <v>0</v>
      </c>
      <c r="DP101" s="3">
        <f t="shared" si="57"/>
        <v>0</v>
      </c>
      <c r="DQ101" s="3">
        <f t="shared" si="57"/>
        <v>0</v>
      </c>
      <c r="DR101" s="3">
        <f t="shared" si="57"/>
        <v>0</v>
      </c>
      <c r="DS101" s="3">
        <f t="shared" si="57"/>
        <v>0</v>
      </c>
      <c r="DT101" s="3">
        <f t="shared" si="57"/>
        <v>0</v>
      </c>
      <c r="DU101" s="3">
        <f t="shared" si="57"/>
        <v>0</v>
      </c>
      <c r="DV101" s="3">
        <f t="shared" si="57"/>
        <v>0</v>
      </c>
      <c r="DW101" s="3">
        <f t="shared" si="57"/>
        <v>0</v>
      </c>
      <c r="DX101" s="3">
        <f t="shared" si="57"/>
        <v>0</v>
      </c>
      <c r="DY101" s="3">
        <f t="shared" si="57"/>
        <v>0</v>
      </c>
      <c r="DZ101" s="3">
        <f t="shared" si="57"/>
        <v>0</v>
      </c>
      <c r="EA101" s="3">
        <f t="shared" si="57"/>
        <v>0</v>
      </c>
      <c r="EB101" s="3">
        <f t="shared" si="57"/>
        <v>0</v>
      </c>
      <c r="EC101" s="3">
        <f t="shared" si="57"/>
        <v>0</v>
      </c>
      <c r="ED101" s="3">
        <f t="shared" si="57"/>
        <v>0</v>
      </c>
      <c r="EE101" s="3">
        <f t="shared" si="57"/>
        <v>0</v>
      </c>
      <c r="EF101" s="3">
        <f t="shared" si="57"/>
        <v>0</v>
      </c>
      <c r="EG101" s="3">
        <f t="shared" si="57"/>
        <v>0</v>
      </c>
      <c r="EH101" s="3">
        <f t="shared" si="57"/>
        <v>0</v>
      </c>
      <c r="EI101" s="3">
        <f t="shared" si="57"/>
        <v>0</v>
      </c>
      <c r="EJ101" s="3">
        <f t="shared" si="57"/>
        <v>0</v>
      </c>
      <c r="EK101" s="3">
        <f t="shared" si="57"/>
        <v>0</v>
      </c>
      <c r="EL101" s="3">
        <f t="shared" si="57"/>
        <v>0</v>
      </c>
      <c r="EM101" s="3">
        <f t="shared" ref="EM101:FR101" si="58">EM106</f>
        <v>0</v>
      </c>
      <c r="EN101" s="3">
        <f t="shared" si="58"/>
        <v>0</v>
      </c>
      <c r="EO101" s="3">
        <f t="shared" si="58"/>
        <v>0</v>
      </c>
      <c r="EP101" s="3">
        <f t="shared" si="58"/>
        <v>0</v>
      </c>
      <c r="EQ101" s="3">
        <f t="shared" si="58"/>
        <v>0</v>
      </c>
      <c r="ER101" s="3">
        <f t="shared" si="58"/>
        <v>0</v>
      </c>
      <c r="ES101" s="3">
        <f t="shared" si="58"/>
        <v>0</v>
      </c>
      <c r="ET101" s="3">
        <f t="shared" si="58"/>
        <v>0</v>
      </c>
      <c r="EU101" s="3">
        <f t="shared" si="58"/>
        <v>0</v>
      </c>
      <c r="EV101" s="3">
        <f t="shared" si="58"/>
        <v>0</v>
      </c>
      <c r="EW101" s="3">
        <f t="shared" si="58"/>
        <v>0</v>
      </c>
      <c r="EX101" s="3">
        <f t="shared" si="58"/>
        <v>0</v>
      </c>
      <c r="EY101" s="3">
        <f t="shared" si="58"/>
        <v>0</v>
      </c>
      <c r="EZ101" s="3">
        <f t="shared" si="58"/>
        <v>0</v>
      </c>
      <c r="FA101" s="3">
        <f t="shared" si="58"/>
        <v>0</v>
      </c>
      <c r="FB101" s="3">
        <f t="shared" si="58"/>
        <v>0</v>
      </c>
      <c r="FC101" s="3">
        <f t="shared" si="58"/>
        <v>0</v>
      </c>
      <c r="FD101" s="3">
        <f t="shared" si="58"/>
        <v>0</v>
      </c>
      <c r="FE101" s="3">
        <f t="shared" si="58"/>
        <v>0</v>
      </c>
      <c r="FF101" s="3">
        <f t="shared" si="58"/>
        <v>0</v>
      </c>
      <c r="FG101" s="3">
        <f t="shared" si="58"/>
        <v>0</v>
      </c>
      <c r="FH101" s="3">
        <f t="shared" si="58"/>
        <v>0</v>
      </c>
      <c r="FI101" s="3">
        <f t="shared" si="58"/>
        <v>0</v>
      </c>
      <c r="FJ101" s="3">
        <f t="shared" si="58"/>
        <v>0</v>
      </c>
      <c r="FK101" s="3">
        <f t="shared" si="58"/>
        <v>0</v>
      </c>
      <c r="FL101" s="3">
        <f t="shared" si="58"/>
        <v>0</v>
      </c>
      <c r="FM101" s="3">
        <f t="shared" si="58"/>
        <v>0</v>
      </c>
      <c r="FN101" s="3">
        <f t="shared" si="58"/>
        <v>0</v>
      </c>
      <c r="FO101" s="3">
        <f t="shared" si="58"/>
        <v>0</v>
      </c>
      <c r="FP101" s="3">
        <f t="shared" si="58"/>
        <v>0</v>
      </c>
      <c r="FQ101" s="3">
        <f t="shared" si="58"/>
        <v>0</v>
      </c>
      <c r="FR101" s="3">
        <f t="shared" si="58"/>
        <v>0</v>
      </c>
      <c r="FS101" s="3">
        <f t="shared" ref="FS101:GX101" si="59">FS106</f>
        <v>0</v>
      </c>
      <c r="FT101" s="3">
        <f t="shared" si="59"/>
        <v>0</v>
      </c>
      <c r="FU101" s="3">
        <f t="shared" si="59"/>
        <v>0</v>
      </c>
      <c r="FV101" s="3">
        <f t="shared" si="59"/>
        <v>0</v>
      </c>
      <c r="FW101" s="3">
        <f t="shared" si="59"/>
        <v>0</v>
      </c>
      <c r="FX101" s="3">
        <f t="shared" si="59"/>
        <v>0</v>
      </c>
      <c r="FY101" s="3">
        <f t="shared" si="59"/>
        <v>0</v>
      </c>
      <c r="FZ101" s="3">
        <f t="shared" si="59"/>
        <v>0</v>
      </c>
      <c r="GA101" s="3">
        <f t="shared" si="59"/>
        <v>0</v>
      </c>
      <c r="GB101" s="3">
        <f t="shared" si="59"/>
        <v>0</v>
      </c>
      <c r="GC101" s="3">
        <f t="shared" si="59"/>
        <v>0</v>
      </c>
      <c r="GD101" s="3">
        <f t="shared" si="59"/>
        <v>0</v>
      </c>
      <c r="GE101" s="3">
        <f t="shared" si="59"/>
        <v>0</v>
      </c>
      <c r="GF101" s="3">
        <f t="shared" si="59"/>
        <v>0</v>
      </c>
      <c r="GG101" s="3">
        <f t="shared" si="59"/>
        <v>0</v>
      </c>
      <c r="GH101" s="3">
        <f t="shared" si="59"/>
        <v>0</v>
      </c>
      <c r="GI101" s="3">
        <f t="shared" si="59"/>
        <v>0</v>
      </c>
      <c r="GJ101" s="3">
        <f t="shared" si="59"/>
        <v>0</v>
      </c>
      <c r="GK101" s="3">
        <f t="shared" si="59"/>
        <v>0</v>
      </c>
      <c r="GL101" s="3">
        <f t="shared" si="59"/>
        <v>0</v>
      </c>
      <c r="GM101" s="3">
        <f t="shared" si="59"/>
        <v>0</v>
      </c>
      <c r="GN101" s="3">
        <f t="shared" si="59"/>
        <v>0</v>
      </c>
      <c r="GO101" s="3">
        <f t="shared" si="59"/>
        <v>0</v>
      </c>
      <c r="GP101" s="3">
        <f t="shared" si="59"/>
        <v>0</v>
      </c>
      <c r="GQ101" s="3">
        <f t="shared" si="59"/>
        <v>0</v>
      </c>
      <c r="GR101" s="3">
        <f t="shared" si="59"/>
        <v>0</v>
      </c>
      <c r="GS101" s="3">
        <f t="shared" si="59"/>
        <v>0</v>
      </c>
      <c r="GT101" s="3">
        <f t="shared" si="59"/>
        <v>0</v>
      </c>
      <c r="GU101" s="3">
        <f t="shared" si="59"/>
        <v>0</v>
      </c>
      <c r="GV101" s="3">
        <f t="shared" si="59"/>
        <v>0</v>
      </c>
      <c r="GW101" s="3">
        <f t="shared" si="59"/>
        <v>0</v>
      </c>
      <c r="GX101" s="3">
        <f t="shared" si="59"/>
        <v>0</v>
      </c>
    </row>
    <row r="103" spans="1:245" x14ac:dyDescent="0.2">
      <c r="A103">
        <v>17</v>
      </c>
      <c r="B103">
        <v>1</v>
      </c>
      <c r="C103">
        <f>ROW(SmtRes!A22)</f>
        <v>22</v>
      </c>
      <c r="D103">
        <f>ROW(EtalonRes!A22)</f>
        <v>22</v>
      </c>
      <c r="E103" t="s">
        <v>120</v>
      </c>
      <c r="F103" t="s">
        <v>121</v>
      </c>
      <c r="G103" t="s">
        <v>122</v>
      </c>
      <c r="H103" t="s">
        <v>123</v>
      </c>
      <c r="I103">
        <f>ROUND(2640/100,7)</f>
        <v>26.4</v>
      </c>
      <c r="J103">
        <v>0</v>
      </c>
      <c r="K103">
        <f>ROUND(2640/100,7)</f>
        <v>26.4</v>
      </c>
      <c r="O103">
        <f>ROUND(CP103,2)</f>
        <v>101173.32</v>
      </c>
      <c r="P103">
        <f>SUMIF(SmtRes!AQ11:'SmtRes'!AQ22,"=1",SmtRes!DF11:'SmtRes'!DF22)</f>
        <v>0</v>
      </c>
      <c r="Q103">
        <f>SUMIF(SmtRes!AQ11:'SmtRes'!AQ22,"=1",SmtRes!DG11:'SmtRes'!DG22)</f>
        <v>22916.959999999999</v>
      </c>
      <c r="R103">
        <f>SUMIF(SmtRes!AQ11:'SmtRes'!AQ22,"=1",SmtRes!DH11:'SmtRes'!DH22)</f>
        <v>12017.23</v>
      </c>
      <c r="S103">
        <f>SUMIF(SmtRes!AQ11:'SmtRes'!AQ22,"=1",SmtRes!DI11:'SmtRes'!DI22)</f>
        <v>66239.13</v>
      </c>
      <c r="T103">
        <f>ROUND(CU103*I103,2)</f>
        <v>0</v>
      </c>
      <c r="U103">
        <f>SUMIF(SmtRes!AQ11:'SmtRes'!AQ22,"=1",SmtRes!CV11:'SmtRes'!CV22)</f>
        <v>138.12479999999999</v>
      </c>
      <c r="V103">
        <f>SUMIF(SmtRes!AQ11:'SmtRes'!AQ22,"=1",SmtRes!CW11:'SmtRes'!CW22)</f>
        <v>20.908799999999999</v>
      </c>
      <c r="W103">
        <f>ROUND(CX103*I103,2)</f>
        <v>0</v>
      </c>
      <c r="X103">
        <f>ROUND(CY103,2)</f>
        <v>75908.67</v>
      </c>
      <c r="Y103">
        <f>ROUND(CZ103,2)</f>
        <v>39910.74</v>
      </c>
      <c r="AA103">
        <v>65174513</v>
      </c>
      <c r="AB103">
        <f>ROUND((AC103+AD103+AF103),6)</f>
        <v>3330.67677</v>
      </c>
      <c r="AC103">
        <f>ROUND((0),6)</f>
        <v>0</v>
      </c>
      <c r="AD103">
        <f>ROUND((((SUM(SmtRes!BR11:'SmtRes'!BR22))-(SUM(SmtRes!BS11:'SmtRes'!BS22)))+AE103),6)</f>
        <v>821.61884999999995</v>
      </c>
      <c r="AE103">
        <f>ROUND((SUM(SmtRes!BS11:'SmtRes'!BS22)),6)</f>
        <v>455.19803999999999</v>
      </c>
      <c r="AF103">
        <f>ROUND((SUM(SmtRes!BT11:'SmtRes'!BT22)),6)</f>
        <v>2509.0579200000002</v>
      </c>
      <c r="AG103">
        <f>ROUND((AP103),6)</f>
        <v>0</v>
      </c>
      <c r="AH103">
        <f>(SUM(SmtRes!BU11:'SmtRes'!BU22))</f>
        <v>5.2320000000000002</v>
      </c>
      <c r="AI103">
        <f>(SUM(SmtRes!BV11:'SmtRes'!BV22))</f>
        <v>0.79200000000000004</v>
      </c>
      <c r="AJ103">
        <f>(AS103)</f>
        <v>0</v>
      </c>
      <c r="AK103">
        <v>13271.483298400002</v>
      </c>
      <c r="AL103">
        <v>651.90059840000004</v>
      </c>
      <c r="AM103">
        <v>2738.7295000000004</v>
      </c>
      <c r="AN103">
        <v>1517.3268000000003</v>
      </c>
      <c r="AO103">
        <v>8363.5264000000006</v>
      </c>
      <c r="AP103">
        <v>0</v>
      </c>
      <c r="AQ103">
        <v>17.440000000000001</v>
      </c>
      <c r="AR103">
        <v>2.64</v>
      </c>
      <c r="AS103">
        <v>0</v>
      </c>
      <c r="AT103">
        <v>97</v>
      </c>
      <c r="AU103">
        <v>51</v>
      </c>
      <c r="AV103">
        <v>1</v>
      </c>
      <c r="AW103">
        <v>1</v>
      </c>
      <c r="AZ103">
        <v>1</v>
      </c>
      <c r="BA103">
        <v>1</v>
      </c>
      <c r="BB103">
        <v>1</v>
      </c>
      <c r="BC103">
        <v>1</v>
      </c>
      <c r="BD103" t="s">
        <v>3</v>
      </c>
      <c r="BE103" t="s">
        <v>3</v>
      </c>
      <c r="BF103" t="s">
        <v>3</v>
      </c>
      <c r="BG103" t="s">
        <v>3</v>
      </c>
      <c r="BH103">
        <v>0</v>
      </c>
      <c r="BI103">
        <v>2</v>
      </c>
      <c r="BJ103" t="s">
        <v>124</v>
      </c>
      <c r="BM103">
        <v>108001</v>
      </c>
      <c r="BN103">
        <v>0</v>
      </c>
      <c r="BO103" t="s">
        <v>3</v>
      </c>
      <c r="BP103">
        <v>0</v>
      </c>
      <c r="BQ103">
        <v>3</v>
      </c>
      <c r="BR103">
        <v>0</v>
      </c>
      <c r="BS103">
        <v>1</v>
      </c>
      <c r="BT103">
        <v>1</v>
      </c>
      <c r="BU103">
        <v>1</v>
      </c>
      <c r="BV103">
        <v>1</v>
      </c>
      <c r="BW103">
        <v>1</v>
      </c>
      <c r="BX103">
        <v>1</v>
      </c>
      <c r="BY103" t="s">
        <v>3</v>
      </c>
      <c r="BZ103">
        <v>97</v>
      </c>
      <c r="CA103">
        <v>51</v>
      </c>
      <c r="CB103" t="s">
        <v>3</v>
      </c>
      <c r="CE103">
        <v>0</v>
      </c>
      <c r="CF103">
        <v>0</v>
      </c>
      <c r="CG103">
        <v>0</v>
      </c>
      <c r="CM103">
        <v>0</v>
      </c>
      <c r="CN103" t="s">
        <v>125</v>
      </c>
      <c r="CO103">
        <v>0</v>
      </c>
      <c r="CP103">
        <f>(P103+Q103+S103+R103)</f>
        <v>101173.31999999999</v>
      </c>
      <c r="CQ103">
        <f>SUMIF(SmtRes!AQ11:'SmtRes'!AQ22,"=1",SmtRes!AA11:'SmtRes'!AA22)</f>
        <v>218231.08</v>
      </c>
      <c r="CR103">
        <f>SUMIF(SmtRes!AQ11:'SmtRes'!AQ22,"=1",SmtRes!AB11:'SmtRes'!AB22)</f>
        <v>2150.29</v>
      </c>
      <c r="CS103">
        <f>SUMIF(SmtRes!AQ11:'SmtRes'!AQ22,"=1",SmtRes!AC11:'SmtRes'!AC22)</f>
        <v>1149.49</v>
      </c>
      <c r="CT103">
        <f>SUMIF(SmtRes!AQ11:'SmtRes'!AQ22,"=1",SmtRes!AD11:'SmtRes'!AD22)</f>
        <v>479.56</v>
      </c>
      <c r="CU103">
        <f>AG103</f>
        <v>0</v>
      </c>
      <c r="CV103">
        <f>SUMIF(SmtRes!AQ11:'SmtRes'!AQ22,"=1",SmtRes!BU11:'SmtRes'!BU22)</f>
        <v>5.2320000000000002</v>
      </c>
      <c r="CW103">
        <f>SUMIF(SmtRes!AQ11:'SmtRes'!AQ22,"=1",SmtRes!BV11:'SmtRes'!BV22)</f>
        <v>0.79200000000000004</v>
      </c>
      <c r="CX103">
        <f>AJ103</f>
        <v>0</v>
      </c>
      <c r="CY103">
        <f>(((S103+R103)*AT103)/100)</f>
        <v>75908.669200000004</v>
      </c>
      <c r="CZ103">
        <f>(((S103+R103)*AU103)/100)</f>
        <v>39910.743600000002</v>
      </c>
      <c r="DB103">
        <v>3</v>
      </c>
      <c r="DC103" t="s">
        <v>3</v>
      </c>
      <c r="DD103" t="s">
        <v>126</v>
      </c>
      <c r="DE103" t="s">
        <v>127</v>
      </c>
      <c r="DF103" t="s">
        <v>127</v>
      </c>
      <c r="DG103" t="s">
        <v>127</v>
      </c>
      <c r="DH103" t="s">
        <v>3</v>
      </c>
      <c r="DI103" t="s">
        <v>127</v>
      </c>
      <c r="DJ103" t="s">
        <v>127</v>
      </c>
      <c r="DK103" t="s">
        <v>3</v>
      </c>
      <c r="DL103" t="s">
        <v>3</v>
      </c>
      <c r="DM103" t="s">
        <v>3</v>
      </c>
      <c r="DN103">
        <v>0</v>
      </c>
      <c r="DO103">
        <v>0</v>
      </c>
      <c r="DP103">
        <v>1</v>
      </c>
      <c r="DQ103">
        <v>1</v>
      </c>
      <c r="DU103">
        <v>1003</v>
      </c>
      <c r="DV103" t="s">
        <v>123</v>
      </c>
      <c r="DW103" t="s">
        <v>123</v>
      </c>
      <c r="DX103">
        <v>100</v>
      </c>
      <c r="DZ103" t="s">
        <v>3</v>
      </c>
      <c r="EA103" t="s">
        <v>3</v>
      </c>
      <c r="EB103" t="s">
        <v>3</v>
      </c>
      <c r="EC103" t="s">
        <v>3</v>
      </c>
      <c r="EE103">
        <v>64850885</v>
      </c>
      <c r="EF103">
        <v>3</v>
      </c>
      <c r="EG103" t="s">
        <v>128</v>
      </c>
      <c r="EH103">
        <v>0</v>
      </c>
      <c r="EI103" t="s">
        <v>3</v>
      </c>
      <c r="EJ103">
        <v>2</v>
      </c>
      <c r="EK103">
        <v>108001</v>
      </c>
      <c r="EL103" t="s">
        <v>129</v>
      </c>
      <c r="EM103" t="s">
        <v>130</v>
      </c>
      <c r="EO103" t="s">
        <v>131</v>
      </c>
      <c r="EQ103">
        <v>0</v>
      </c>
      <c r="ER103">
        <v>0</v>
      </c>
      <c r="ES103">
        <v>0</v>
      </c>
      <c r="ET103">
        <v>0</v>
      </c>
      <c r="EU103">
        <v>0</v>
      </c>
      <c r="EV103">
        <v>0</v>
      </c>
      <c r="EW103">
        <v>17.440000000000001</v>
      </c>
      <c r="EX103">
        <v>2.64</v>
      </c>
      <c r="EY103">
        <v>0</v>
      </c>
      <c r="FQ103">
        <v>0</v>
      </c>
      <c r="FR103">
        <f>ROUND(IF(BI103=3,GM103,0),2)</f>
        <v>0</v>
      </c>
      <c r="FS103">
        <v>0</v>
      </c>
      <c r="FX103">
        <v>97</v>
      </c>
      <c r="FY103">
        <v>51</v>
      </c>
      <c r="GA103" t="s">
        <v>3</v>
      </c>
      <c r="GD103">
        <v>1</v>
      </c>
      <c r="GF103">
        <v>1941302536</v>
      </c>
      <c r="GG103">
        <v>2</v>
      </c>
      <c r="GH103">
        <v>1</v>
      </c>
      <c r="GI103">
        <v>-2</v>
      </c>
      <c r="GJ103">
        <v>0</v>
      </c>
      <c r="GK103">
        <v>0</v>
      </c>
      <c r="GL103">
        <f>ROUND(IF(AND(BH103=3,BI103=3,FS103&lt;&gt;0),P103,0),2)</f>
        <v>0</v>
      </c>
      <c r="GM103">
        <f>ROUND(O103+X103+Y103,2)+GX103</f>
        <v>216992.73</v>
      </c>
      <c r="GN103">
        <f>IF(OR(BI103=0,BI103=1),GM103-GX103,0)</f>
        <v>0</v>
      </c>
      <c r="GO103">
        <f>IF(BI103=2,GM103-GX103,0)</f>
        <v>216992.73</v>
      </c>
      <c r="GP103">
        <f>IF(BI103=4,GM103-GX103,0)</f>
        <v>0</v>
      </c>
      <c r="GR103">
        <v>0</v>
      </c>
      <c r="GS103">
        <v>0</v>
      </c>
      <c r="GT103">
        <v>0</v>
      </c>
      <c r="GU103" t="s">
        <v>3</v>
      </c>
      <c r="GV103">
        <f>ROUND((GT103),6)</f>
        <v>0</v>
      </c>
      <c r="GW103">
        <v>1</v>
      </c>
      <c r="GX103">
        <f>ROUND(HC103*I103,2)</f>
        <v>0</v>
      </c>
      <c r="HA103">
        <v>0</v>
      </c>
      <c r="HB103">
        <v>0</v>
      </c>
      <c r="HC103">
        <f>GV103*GW103</f>
        <v>0</v>
      </c>
      <c r="HE103" t="s">
        <v>3</v>
      </c>
      <c r="HF103" t="s">
        <v>3</v>
      </c>
      <c r="HM103" t="s">
        <v>3</v>
      </c>
      <c r="HN103" t="s">
        <v>132</v>
      </c>
      <c r="HO103" t="s">
        <v>133</v>
      </c>
      <c r="HP103" t="s">
        <v>129</v>
      </c>
      <c r="HQ103" t="s">
        <v>129</v>
      </c>
      <c r="IK103">
        <v>0</v>
      </c>
    </row>
    <row r="104" spans="1:245" x14ac:dyDescent="0.2">
      <c r="A104">
        <v>17</v>
      </c>
      <c r="B104">
        <v>1</v>
      </c>
      <c r="C104">
        <f>ROW(SmtRes!A31)</f>
        <v>31</v>
      </c>
      <c r="D104">
        <f>ROW(EtalonRes!A31)</f>
        <v>31</v>
      </c>
      <c r="E104" t="s">
        <v>134</v>
      </c>
      <c r="F104" t="s">
        <v>135</v>
      </c>
      <c r="G104" t="s">
        <v>136</v>
      </c>
      <c r="H104" t="s">
        <v>137</v>
      </c>
      <c r="I104">
        <v>6</v>
      </c>
      <c r="J104">
        <v>0</v>
      </c>
      <c r="K104">
        <v>6</v>
      </c>
      <c r="O104">
        <f>ROUND(CP104,2)</f>
        <v>9726.9500000000007</v>
      </c>
      <c r="P104">
        <f>SUMIF(SmtRes!AQ23:'SmtRes'!AQ31,"=1",SmtRes!DF23:'SmtRes'!DF31)</f>
        <v>0</v>
      </c>
      <c r="Q104">
        <f>SUMIF(SmtRes!AQ23:'SmtRes'!AQ31,"=1",SmtRes!DG23:'SmtRes'!DG31)</f>
        <v>38.33</v>
      </c>
      <c r="R104">
        <f>SUMIF(SmtRes!AQ23:'SmtRes'!AQ31,"=1",SmtRes!DH23:'SmtRes'!DH31)</f>
        <v>20.689999999999998</v>
      </c>
      <c r="S104">
        <f>SUMIF(SmtRes!AQ23:'SmtRes'!AQ31,"=1",SmtRes!DI23:'SmtRes'!DI31)</f>
        <v>9667.93</v>
      </c>
      <c r="T104">
        <f>ROUND(CU104*I104,2)</f>
        <v>0</v>
      </c>
      <c r="U104">
        <f>SUMIF(SmtRes!AQ23:'SmtRes'!AQ31,"=1",SmtRes!CV23:'SmtRes'!CV31)</f>
        <v>20.16</v>
      </c>
      <c r="V104">
        <f>SUMIF(SmtRes!AQ23:'SmtRes'!AQ31,"=1",SmtRes!CW23:'SmtRes'!CW31)</f>
        <v>3.5999999999999997E-2</v>
      </c>
      <c r="W104">
        <f>ROUND(CX104*I104,2)</f>
        <v>0</v>
      </c>
      <c r="X104">
        <f>ROUND(CY104,2)</f>
        <v>9397.9599999999991</v>
      </c>
      <c r="Y104">
        <f>ROUND(CZ104,2)</f>
        <v>4941.2</v>
      </c>
      <c r="AA104">
        <v>65174513</v>
      </c>
      <c r="AB104">
        <f>ROUND((AC104+AD104+AF104),6)</f>
        <v>1617.4089300000001</v>
      </c>
      <c r="AC104">
        <f>ROUND((0),6)</f>
        <v>0</v>
      </c>
      <c r="AD104">
        <f>ROUND((((SUM(SmtRes!BR23:'SmtRes'!BR31))-(SUM(SmtRes!BS23:'SmtRes'!BS31)))+AE104),6)</f>
        <v>6.0873299999999997</v>
      </c>
      <c r="AE104">
        <f>ROUND((SUM(SmtRes!BS23:'SmtRes'!BS31)),6)</f>
        <v>3.4484699999999999</v>
      </c>
      <c r="AF104">
        <f>ROUND((SUM(SmtRes!BT23:'SmtRes'!BT31)),6)</f>
        <v>1611.3216</v>
      </c>
      <c r="AG104">
        <f>ROUND((AP104),6)</f>
        <v>0</v>
      </c>
      <c r="AH104">
        <f>(SUM(SmtRes!BU23:'SmtRes'!BU31))</f>
        <v>3.36</v>
      </c>
      <c r="AI104">
        <f>(SUM(SmtRes!BV23:'SmtRes'!BV31))</f>
        <v>6.0000000000000001E-3</v>
      </c>
      <c r="AJ104">
        <f>(AS104)</f>
        <v>0</v>
      </c>
      <c r="AK104">
        <v>6385.5491599999996</v>
      </c>
      <c r="AL104">
        <v>982.69115999999997</v>
      </c>
      <c r="AM104">
        <v>20.2911</v>
      </c>
      <c r="AN104">
        <v>11.494900000000001</v>
      </c>
      <c r="AO104">
        <v>5371.0720000000001</v>
      </c>
      <c r="AP104">
        <v>0</v>
      </c>
      <c r="AQ104">
        <v>11.2</v>
      </c>
      <c r="AR104">
        <v>0.02</v>
      </c>
      <c r="AS104">
        <v>0</v>
      </c>
      <c r="AT104">
        <v>97</v>
      </c>
      <c r="AU104">
        <v>51</v>
      </c>
      <c r="AV104">
        <v>1</v>
      </c>
      <c r="AW104">
        <v>1</v>
      </c>
      <c r="AZ104">
        <v>1</v>
      </c>
      <c r="BA104">
        <v>1</v>
      </c>
      <c r="BB104">
        <v>1</v>
      </c>
      <c r="BC104">
        <v>1</v>
      </c>
      <c r="BD104" t="s">
        <v>3</v>
      </c>
      <c r="BE104" t="s">
        <v>3</v>
      </c>
      <c r="BF104" t="s">
        <v>3</v>
      </c>
      <c r="BG104" t="s">
        <v>3</v>
      </c>
      <c r="BH104">
        <v>0</v>
      </c>
      <c r="BI104">
        <v>2</v>
      </c>
      <c r="BJ104" t="s">
        <v>138</v>
      </c>
      <c r="BM104">
        <v>108001</v>
      </c>
      <c r="BN104">
        <v>0</v>
      </c>
      <c r="BO104" t="s">
        <v>3</v>
      </c>
      <c r="BP104">
        <v>0</v>
      </c>
      <c r="BQ104">
        <v>3</v>
      </c>
      <c r="BR104">
        <v>0</v>
      </c>
      <c r="BS104">
        <v>1</v>
      </c>
      <c r="BT104">
        <v>1</v>
      </c>
      <c r="BU104">
        <v>1</v>
      </c>
      <c r="BV104">
        <v>1</v>
      </c>
      <c r="BW104">
        <v>1</v>
      </c>
      <c r="BX104">
        <v>1</v>
      </c>
      <c r="BY104" t="s">
        <v>3</v>
      </c>
      <c r="BZ104">
        <v>97</v>
      </c>
      <c r="CA104">
        <v>51</v>
      </c>
      <c r="CB104" t="s">
        <v>3</v>
      </c>
      <c r="CE104">
        <v>0</v>
      </c>
      <c r="CF104">
        <v>0</v>
      </c>
      <c r="CG104">
        <v>0</v>
      </c>
      <c r="CM104">
        <v>0</v>
      </c>
      <c r="CN104" t="s">
        <v>125</v>
      </c>
      <c r="CO104">
        <v>0</v>
      </c>
      <c r="CP104">
        <f>(P104+Q104+S104+R104)</f>
        <v>9726.9500000000007</v>
      </c>
      <c r="CQ104">
        <f>SUMIF(SmtRes!AQ23:'SmtRes'!AQ31,"=1",SmtRes!AA23:'SmtRes'!AA31)</f>
        <v>316024.24000000005</v>
      </c>
      <c r="CR104">
        <f>SUMIF(SmtRes!AQ23:'SmtRes'!AQ31,"=1",SmtRes!AB23:'SmtRes'!AB31)</f>
        <v>2129.4700000000003</v>
      </c>
      <c r="CS104">
        <f>SUMIF(SmtRes!AQ23:'SmtRes'!AQ31,"=1",SmtRes!AC23:'SmtRes'!AC31)</f>
        <v>1149.49</v>
      </c>
      <c r="CT104">
        <f>SUMIF(SmtRes!AQ23:'SmtRes'!AQ31,"=1",SmtRes!AD23:'SmtRes'!AD31)</f>
        <v>479.56</v>
      </c>
      <c r="CU104">
        <f>AG104</f>
        <v>0</v>
      </c>
      <c r="CV104">
        <f>SUMIF(SmtRes!AQ23:'SmtRes'!AQ31,"=1",SmtRes!BU23:'SmtRes'!BU31)</f>
        <v>3.36</v>
      </c>
      <c r="CW104">
        <f>SUMIF(SmtRes!AQ23:'SmtRes'!AQ31,"=1",SmtRes!BV23:'SmtRes'!BV31)</f>
        <v>6.0000000000000001E-3</v>
      </c>
      <c r="CX104">
        <f>AJ104</f>
        <v>0</v>
      </c>
      <c r="CY104">
        <f>(((S104+R104)*AT104)/100)</f>
        <v>9397.961400000002</v>
      </c>
      <c r="CZ104">
        <f>(((S104+R104)*AU104)/100)</f>
        <v>4941.1962000000003</v>
      </c>
      <c r="DB104">
        <v>4</v>
      </c>
      <c r="DC104" t="s">
        <v>3</v>
      </c>
      <c r="DD104" t="s">
        <v>126</v>
      </c>
      <c r="DE104" t="s">
        <v>127</v>
      </c>
      <c r="DF104" t="s">
        <v>127</v>
      </c>
      <c r="DG104" t="s">
        <v>127</v>
      </c>
      <c r="DH104" t="s">
        <v>3</v>
      </c>
      <c r="DI104" t="s">
        <v>127</v>
      </c>
      <c r="DJ104" t="s">
        <v>127</v>
      </c>
      <c r="DK104" t="s">
        <v>3</v>
      </c>
      <c r="DL104" t="s">
        <v>3</v>
      </c>
      <c r="DM104" t="s">
        <v>3</v>
      </c>
      <c r="DN104">
        <v>0</v>
      </c>
      <c r="DO104">
        <v>0</v>
      </c>
      <c r="DP104">
        <v>1</v>
      </c>
      <c r="DQ104">
        <v>1</v>
      </c>
      <c r="DU104">
        <v>1013</v>
      </c>
      <c r="DV104" t="s">
        <v>137</v>
      </c>
      <c r="DW104" t="s">
        <v>137</v>
      </c>
      <c r="DX104">
        <v>1</v>
      </c>
      <c r="DZ104" t="s">
        <v>3</v>
      </c>
      <c r="EA104" t="s">
        <v>3</v>
      </c>
      <c r="EB104" t="s">
        <v>3</v>
      </c>
      <c r="EC104" t="s">
        <v>3</v>
      </c>
      <c r="EE104">
        <v>64850885</v>
      </c>
      <c r="EF104">
        <v>3</v>
      </c>
      <c r="EG104" t="s">
        <v>128</v>
      </c>
      <c r="EH104">
        <v>0</v>
      </c>
      <c r="EI104" t="s">
        <v>3</v>
      </c>
      <c r="EJ104">
        <v>2</v>
      </c>
      <c r="EK104">
        <v>108001</v>
      </c>
      <c r="EL104" t="s">
        <v>129</v>
      </c>
      <c r="EM104" t="s">
        <v>130</v>
      </c>
      <c r="EO104" t="s">
        <v>131</v>
      </c>
      <c r="EQ104">
        <v>0</v>
      </c>
      <c r="ER104">
        <v>0</v>
      </c>
      <c r="ES104">
        <v>0</v>
      </c>
      <c r="ET104">
        <v>0</v>
      </c>
      <c r="EU104">
        <v>0</v>
      </c>
      <c r="EV104">
        <v>0</v>
      </c>
      <c r="EW104">
        <v>11.2</v>
      </c>
      <c r="EX104">
        <v>0.02</v>
      </c>
      <c r="EY104">
        <v>0</v>
      </c>
      <c r="FQ104">
        <v>0</v>
      </c>
      <c r="FR104">
        <f>ROUND(IF(BI104=3,GM104,0),2)</f>
        <v>0</v>
      </c>
      <c r="FS104">
        <v>0</v>
      </c>
      <c r="FX104">
        <v>97</v>
      </c>
      <c r="FY104">
        <v>51</v>
      </c>
      <c r="GA104" t="s">
        <v>3</v>
      </c>
      <c r="GD104">
        <v>1</v>
      </c>
      <c r="GF104">
        <v>1642663661</v>
      </c>
      <c r="GG104">
        <v>2</v>
      </c>
      <c r="GH104">
        <v>1</v>
      </c>
      <c r="GI104">
        <v>-2</v>
      </c>
      <c r="GJ104">
        <v>0</v>
      </c>
      <c r="GK104">
        <v>0</v>
      </c>
      <c r="GL104">
        <f>ROUND(IF(AND(BH104=3,BI104=3,FS104&lt;&gt;0),P104,0),2)</f>
        <v>0</v>
      </c>
      <c r="GM104">
        <f>ROUND(O104+X104+Y104,2)+GX104</f>
        <v>24066.11</v>
      </c>
      <c r="GN104">
        <f>IF(OR(BI104=0,BI104=1),GM104-GX104,0)</f>
        <v>0</v>
      </c>
      <c r="GO104">
        <f>IF(BI104=2,GM104-GX104,0)</f>
        <v>24066.11</v>
      </c>
      <c r="GP104">
        <f>IF(BI104=4,GM104-GX104,0)</f>
        <v>0</v>
      </c>
      <c r="GR104">
        <v>0</v>
      </c>
      <c r="GS104">
        <v>3</v>
      </c>
      <c r="GT104">
        <v>0</v>
      </c>
      <c r="GU104" t="s">
        <v>3</v>
      </c>
      <c r="GV104">
        <f>ROUND((GT104),6)</f>
        <v>0</v>
      </c>
      <c r="GW104">
        <v>1</v>
      </c>
      <c r="GX104">
        <f>ROUND(HC104*I104,2)</f>
        <v>0</v>
      </c>
      <c r="HA104">
        <v>0</v>
      </c>
      <c r="HB104">
        <v>0</v>
      </c>
      <c r="HC104">
        <f>GV104*GW104</f>
        <v>0</v>
      </c>
      <c r="HE104" t="s">
        <v>3</v>
      </c>
      <c r="HF104" t="s">
        <v>3</v>
      </c>
      <c r="HM104" t="s">
        <v>3</v>
      </c>
      <c r="HN104" t="s">
        <v>132</v>
      </c>
      <c r="HO104" t="s">
        <v>133</v>
      </c>
      <c r="HP104" t="s">
        <v>129</v>
      </c>
      <c r="HQ104" t="s">
        <v>129</v>
      </c>
      <c r="IK104">
        <v>0</v>
      </c>
    </row>
    <row r="106" spans="1:245" x14ac:dyDescent="0.2">
      <c r="A106" s="2">
        <v>51</v>
      </c>
      <c r="B106" s="2">
        <f>B99</f>
        <v>1</v>
      </c>
      <c r="C106" s="2">
        <f>A99</f>
        <v>4</v>
      </c>
      <c r="D106" s="2">
        <f>ROW(A99)</f>
        <v>99</v>
      </c>
      <c r="E106" s="2"/>
      <c r="F106" s="2" t="str">
        <f>IF(F99&lt;&gt;"",F99,"")</f>
        <v>Новый раздел</v>
      </c>
      <c r="G106" s="2" t="str">
        <f>IF(G99&lt;&gt;"",G99,"")</f>
        <v>Демонтажные работы</v>
      </c>
      <c r="H106" s="2">
        <v>0</v>
      </c>
      <c r="I106" s="2"/>
      <c r="J106" s="2"/>
      <c r="K106" s="2"/>
      <c r="L106" s="2"/>
      <c r="M106" s="2"/>
      <c r="N106" s="2"/>
      <c r="O106" s="2">
        <f t="shared" ref="O106:T106" si="60">ROUND(AB106,2)</f>
        <v>110900.27</v>
      </c>
      <c r="P106" s="2">
        <f t="shared" si="60"/>
        <v>0</v>
      </c>
      <c r="Q106" s="2">
        <f t="shared" si="60"/>
        <v>22955.29</v>
      </c>
      <c r="R106" s="2">
        <f t="shared" si="60"/>
        <v>12037.92</v>
      </c>
      <c r="S106" s="2">
        <f t="shared" si="60"/>
        <v>75907.06</v>
      </c>
      <c r="T106" s="2">
        <f t="shared" si="60"/>
        <v>0</v>
      </c>
      <c r="U106" s="2">
        <f>AH106</f>
        <v>158.28479999999999</v>
      </c>
      <c r="V106" s="2">
        <f>AI106</f>
        <v>20.944800000000001</v>
      </c>
      <c r="W106" s="2">
        <f>ROUND(AJ106,2)</f>
        <v>0</v>
      </c>
      <c r="X106" s="2">
        <f>ROUND(AK106,2)</f>
        <v>85306.63</v>
      </c>
      <c r="Y106" s="2">
        <f>ROUND(AL106,2)</f>
        <v>44851.94</v>
      </c>
      <c r="Z106" s="2"/>
      <c r="AA106" s="2"/>
      <c r="AB106" s="2">
        <f>ROUND(SUMIF(AA103:AA104,"=65174513",O103:O104),2)</f>
        <v>110900.27</v>
      </c>
      <c r="AC106" s="2">
        <f>ROUND(SUMIF(AA103:AA104,"=65174513",P103:P104),2)</f>
        <v>0</v>
      </c>
      <c r="AD106" s="2">
        <f>ROUND(SUMIF(AA103:AA104,"=65174513",Q103:Q104),2)</f>
        <v>22955.29</v>
      </c>
      <c r="AE106" s="2">
        <f>ROUND(SUMIF(AA103:AA104,"=65174513",R103:R104),2)</f>
        <v>12037.92</v>
      </c>
      <c r="AF106" s="2">
        <f>ROUND(SUMIF(AA103:AA104,"=65174513",S103:S104),2)</f>
        <v>75907.06</v>
      </c>
      <c r="AG106" s="2">
        <f>ROUND(SUMIF(AA103:AA104,"=65174513",T103:T104),2)</f>
        <v>0</v>
      </c>
      <c r="AH106" s="2">
        <f>SUMIF(AA103:AA104,"=65174513",U103:U104)</f>
        <v>158.28479999999999</v>
      </c>
      <c r="AI106" s="2">
        <f>SUMIF(AA103:AA104,"=65174513",V103:V104)</f>
        <v>20.944800000000001</v>
      </c>
      <c r="AJ106" s="2">
        <f>ROUND(SUMIF(AA103:AA104,"=65174513",W103:W104),2)</f>
        <v>0</v>
      </c>
      <c r="AK106" s="2">
        <f>ROUND(SUMIF(AA103:AA104,"=65174513",X103:X104),2)</f>
        <v>85306.63</v>
      </c>
      <c r="AL106" s="2">
        <f>ROUND(SUMIF(AA103:AA104,"=65174513",Y103:Y104),2)</f>
        <v>44851.94</v>
      </c>
      <c r="AM106" s="2"/>
      <c r="AN106" s="2"/>
      <c r="AO106" s="2">
        <f t="shared" ref="AO106:BD106" si="61">ROUND(BX106,2)</f>
        <v>0</v>
      </c>
      <c r="AP106" s="2">
        <f t="shared" si="61"/>
        <v>0</v>
      </c>
      <c r="AQ106" s="2">
        <f t="shared" si="61"/>
        <v>0</v>
      </c>
      <c r="AR106" s="2">
        <f t="shared" si="61"/>
        <v>241058.84</v>
      </c>
      <c r="AS106" s="2">
        <f t="shared" si="61"/>
        <v>0</v>
      </c>
      <c r="AT106" s="2">
        <f t="shared" si="61"/>
        <v>241058.84</v>
      </c>
      <c r="AU106" s="2">
        <f t="shared" si="61"/>
        <v>0</v>
      </c>
      <c r="AV106" s="2">
        <f t="shared" si="61"/>
        <v>0</v>
      </c>
      <c r="AW106" s="2">
        <f t="shared" si="61"/>
        <v>0</v>
      </c>
      <c r="AX106" s="2">
        <f t="shared" si="61"/>
        <v>0</v>
      </c>
      <c r="AY106" s="2">
        <f t="shared" si="61"/>
        <v>0</v>
      </c>
      <c r="AZ106" s="2">
        <f t="shared" si="61"/>
        <v>0</v>
      </c>
      <c r="BA106" s="2">
        <f t="shared" si="61"/>
        <v>0</v>
      </c>
      <c r="BB106" s="2">
        <f t="shared" si="61"/>
        <v>0</v>
      </c>
      <c r="BC106" s="2">
        <f t="shared" si="61"/>
        <v>0</v>
      </c>
      <c r="BD106" s="2">
        <f t="shared" si="61"/>
        <v>0</v>
      </c>
      <c r="BE106" s="2"/>
      <c r="BF106" s="2"/>
      <c r="BG106" s="2"/>
      <c r="BH106" s="2"/>
      <c r="BI106" s="2"/>
      <c r="BJ106" s="2"/>
      <c r="BK106" s="2"/>
      <c r="BL106" s="2"/>
      <c r="BM106" s="2"/>
      <c r="BN106" s="2"/>
      <c r="BO106" s="2"/>
      <c r="BP106" s="2"/>
      <c r="BQ106" s="2"/>
      <c r="BR106" s="2"/>
      <c r="BS106" s="2"/>
      <c r="BT106" s="2"/>
      <c r="BU106" s="2"/>
      <c r="BV106" s="2"/>
      <c r="BW106" s="2"/>
      <c r="BX106" s="2">
        <f>ROUND(SUMIF(AA103:AA104,"=65174513",FQ103:FQ104),2)</f>
        <v>0</v>
      </c>
      <c r="BY106" s="2">
        <f>ROUND(SUMIF(AA103:AA104,"=65174513",FR103:FR104),2)</f>
        <v>0</v>
      </c>
      <c r="BZ106" s="2">
        <f>ROUND(SUMIF(AA103:AA104,"=65174513",GL103:GL104),2)</f>
        <v>0</v>
      </c>
      <c r="CA106" s="2">
        <f>ROUND(SUMIF(AA103:AA104,"=65174513",GM103:GM104),2)</f>
        <v>241058.84</v>
      </c>
      <c r="CB106" s="2">
        <f>ROUND(SUMIF(AA103:AA104,"=65174513",GN103:GN104),2)</f>
        <v>0</v>
      </c>
      <c r="CC106" s="2">
        <f>ROUND(SUMIF(AA103:AA104,"=65174513",GO103:GO104),2)</f>
        <v>241058.84</v>
      </c>
      <c r="CD106" s="2">
        <f>ROUND(SUMIF(AA103:AA104,"=65174513",GP103:GP104),2)</f>
        <v>0</v>
      </c>
      <c r="CE106" s="2">
        <f>AC106-BX106</f>
        <v>0</v>
      </c>
      <c r="CF106" s="2">
        <f>AC106-BY106</f>
        <v>0</v>
      </c>
      <c r="CG106" s="2">
        <f>BX106-BZ106</f>
        <v>0</v>
      </c>
      <c r="CH106" s="2">
        <f>AC106-BX106-BY106+BZ106</f>
        <v>0</v>
      </c>
      <c r="CI106" s="2">
        <f>BY106-BZ106</f>
        <v>0</v>
      </c>
      <c r="CJ106" s="2">
        <f>ROUND(SUMIF(AA103:AA104,"=65174513",GX103:GX104),2)</f>
        <v>0</v>
      </c>
      <c r="CK106" s="2">
        <f>ROUND(SUMIF(AA103:AA104,"=65174513",GY103:GY104),2)</f>
        <v>0</v>
      </c>
      <c r="CL106" s="2">
        <f>ROUND(SUMIF(AA103:AA104,"=65174513",GZ103:GZ104),2)</f>
        <v>0</v>
      </c>
      <c r="CM106" s="2">
        <f>ROUND(SUMIF(AA103:AA104,"=65174513",HD103:HD104),2)</f>
        <v>0</v>
      </c>
      <c r="CN106" s="2"/>
      <c r="CO106" s="2"/>
      <c r="CP106" s="2"/>
      <c r="CQ106" s="2"/>
      <c r="CR106" s="2"/>
      <c r="CS106" s="2"/>
      <c r="CT106" s="2"/>
      <c r="CU106" s="2"/>
      <c r="CV106" s="2"/>
      <c r="CW106" s="2"/>
      <c r="CX106" s="2"/>
      <c r="CY106" s="2"/>
      <c r="CZ106" s="2"/>
      <c r="DA106" s="2"/>
      <c r="DB106" s="2"/>
      <c r="DC106" s="2"/>
      <c r="DD106" s="2"/>
      <c r="DE106" s="2"/>
      <c r="DF106" s="2"/>
      <c r="DG106" s="3"/>
      <c r="DH106" s="3"/>
      <c r="DI106" s="3"/>
      <c r="DJ106" s="3"/>
      <c r="DK106" s="3"/>
      <c r="DL106" s="3"/>
      <c r="DM106" s="3"/>
      <c r="DN106" s="3"/>
      <c r="DO106" s="3"/>
      <c r="DP106" s="3"/>
      <c r="DQ106" s="3"/>
      <c r="DR106" s="3"/>
      <c r="DS106" s="3"/>
      <c r="DT106" s="3"/>
      <c r="DU106" s="3"/>
      <c r="DV106" s="3"/>
      <c r="DW106" s="3"/>
      <c r="DX106" s="3"/>
      <c r="DY106" s="3"/>
      <c r="DZ106" s="3"/>
      <c r="EA106" s="3"/>
      <c r="EB106" s="3"/>
      <c r="EC106" s="3"/>
      <c r="ED106" s="3"/>
      <c r="EE106" s="3"/>
      <c r="EF106" s="3"/>
      <c r="EG106" s="3"/>
      <c r="EH106" s="3"/>
      <c r="EI106" s="3"/>
      <c r="EJ106" s="3"/>
      <c r="EK106" s="3"/>
      <c r="EL106" s="3"/>
      <c r="EM106" s="3"/>
      <c r="EN106" s="3"/>
      <c r="EO106" s="3"/>
      <c r="EP106" s="3"/>
      <c r="EQ106" s="3"/>
      <c r="ER106" s="3"/>
      <c r="ES106" s="3"/>
      <c r="ET106" s="3"/>
      <c r="EU106" s="3"/>
      <c r="EV106" s="3"/>
      <c r="EW106" s="3"/>
      <c r="EX106" s="3"/>
      <c r="EY106" s="3"/>
      <c r="EZ106" s="3"/>
      <c r="FA106" s="3"/>
      <c r="FB106" s="3"/>
      <c r="FC106" s="3"/>
      <c r="FD106" s="3"/>
      <c r="FE106" s="3"/>
      <c r="FF106" s="3"/>
      <c r="FG106" s="3"/>
      <c r="FH106" s="3"/>
      <c r="FI106" s="3"/>
      <c r="FJ106" s="3"/>
      <c r="FK106" s="3"/>
      <c r="FL106" s="3"/>
      <c r="FM106" s="3"/>
      <c r="FN106" s="3"/>
      <c r="FO106" s="3"/>
      <c r="FP106" s="3"/>
      <c r="FQ106" s="3"/>
      <c r="FR106" s="3"/>
      <c r="FS106" s="3"/>
      <c r="FT106" s="3"/>
      <c r="FU106" s="3"/>
      <c r="FV106" s="3"/>
      <c r="FW106" s="3"/>
      <c r="FX106" s="3"/>
      <c r="FY106" s="3"/>
      <c r="FZ106" s="3"/>
      <c r="GA106" s="3"/>
      <c r="GB106" s="3"/>
      <c r="GC106" s="3"/>
      <c r="GD106" s="3"/>
      <c r="GE106" s="3"/>
      <c r="GF106" s="3"/>
      <c r="GG106" s="3"/>
      <c r="GH106" s="3"/>
      <c r="GI106" s="3"/>
      <c r="GJ106" s="3"/>
      <c r="GK106" s="3"/>
      <c r="GL106" s="3"/>
      <c r="GM106" s="3"/>
      <c r="GN106" s="3"/>
      <c r="GO106" s="3"/>
      <c r="GP106" s="3"/>
      <c r="GQ106" s="3"/>
      <c r="GR106" s="3"/>
      <c r="GS106" s="3"/>
      <c r="GT106" s="3"/>
      <c r="GU106" s="3"/>
      <c r="GV106" s="3"/>
      <c r="GW106" s="3"/>
      <c r="GX106" s="3">
        <v>0</v>
      </c>
    </row>
    <row r="108" spans="1:245" x14ac:dyDescent="0.2">
      <c r="A108" s="4">
        <v>50</v>
      </c>
      <c r="B108" s="4">
        <v>0</v>
      </c>
      <c r="C108" s="4">
        <v>0</v>
      </c>
      <c r="D108" s="4">
        <v>1</v>
      </c>
      <c r="E108" s="4">
        <v>201</v>
      </c>
      <c r="F108" s="4">
        <f>ROUND(Source!O106,O108)</f>
        <v>110900.27</v>
      </c>
      <c r="G108" s="4" t="s">
        <v>17</v>
      </c>
      <c r="H108" s="4" t="s">
        <v>18</v>
      </c>
      <c r="I108" s="4"/>
      <c r="J108" s="4"/>
      <c r="K108" s="4">
        <v>201</v>
      </c>
      <c r="L108" s="4">
        <v>1</v>
      </c>
      <c r="M108" s="4">
        <v>3</v>
      </c>
      <c r="N108" s="4" t="s">
        <v>3</v>
      </c>
      <c r="O108" s="4">
        <v>2</v>
      </c>
      <c r="P108" s="4"/>
      <c r="Q108" s="4"/>
      <c r="R108" s="4"/>
      <c r="S108" s="4"/>
      <c r="T108" s="4"/>
      <c r="U108" s="4"/>
      <c r="V108" s="4"/>
      <c r="W108" s="4">
        <v>110900.27</v>
      </c>
      <c r="X108" s="4">
        <v>1</v>
      </c>
      <c r="Y108" s="4">
        <v>110900.27</v>
      </c>
      <c r="Z108" s="4"/>
      <c r="AA108" s="4"/>
      <c r="AB108" s="4"/>
    </row>
    <row r="109" spans="1:245" x14ac:dyDescent="0.2">
      <c r="A109" s="4">
        <v>50</v>
      </c>
      <c r="B109" s="4">
        <v>0</v>
      </c>
      <c r="C109" s="4">
        <v>0</v>
      </c>
      <c r="D109" s="4">
        <v>1</v>
      </c>
      <c r="E109" s="4">
        <v>202</v>
      </c>
      <c r="F109" s="4">
        <f>ROUND(Source!P106,O109)</f>
        <v>0</v>
      </c>
      <c r="G109" s="4" t="s">
        <v>19</v>
      </c>
      <c r="H109" s="4" t="s">
        <v>20</v>
      </c>
      <c r="I109" s="4"/>
      <c r="J109" s="4"/>
      <c r="K109" s="4">
        <v>202</v>
      </c>
      <c r="L109" s="4">
        <v>2</v>
      </c>
      <c r="M109" s="4">
        <v>3</v>
      </c>
      <c r="N109" s="4" t="s">
        <v>3</v>
      </c>
      <c r="O109" s="4">
        <v>2</v>
      </c>
      <c r="P109" s="4"/>
      <c r="Q109" s="4"/>
      <c r="R109" s="4"/>
      <c r="S109" s="4"/>
      <c r="T109" s="4"/>
      <c r="U109" s="4"/>
      <c r="V109" s="4"/>
      <c r="W109" s="4">
        <v>0</v>
      </c>
      <c r="X109" s="4">
        <v>1</v>
      </c>
      <c r="Y109" s="4">
        <v>0</v>
      </c>
      <c r="Z109" s="4"/>
      <c r="AA109" s="4"/>
      <c r="AB109" s="4"/>
    </row>
    <row r="110" spans="1:245" x14ac:dyDescent="0.2">
      <c r="A110" s="4">
        <v>50</v>
      </c>
      <c r="B110" s="4">
        <v>0</v>
      </c>
      <c r="C110" s="4">
        <v>0</v>
      </c>
      <c r="D110" s="4">
        <v>1</v>
      </c>
      <c r="E110" s="4">
        <v>222</v>
      </c>
      <c r="F110" s="4">
        <f>ROUND(Source!AO106,O110)</f>
        <v>0</v>
      </c>
      <c r="G110" s="4" t="s">
        <v>21</v>
      </c>
      <c r="H110" s="4" t="s">
        <v>22</v>
      </c>
      <c r="I110" s="4"/>
      <c r="J110" s="4"/>
      <c r="K110" s="4">
        <v>222</v>
      </c>
      <c r="L110" s="4">
        <v>3</v>
      </c>
      <c r="M110" s="4">
        <v>3</v>
      </c>
      <c r="N110" s="4" t="s">
        <v>3</v>
      </c>
      <c r="O110" s="4">
        <v>2</v>
      </c>
      <c r="P110" s="4"/>
      <c r="Q110" s="4"/>
      <c r="R110" s="4"/>
      <c r="S110" s="4"/>
      <c r="T110" s="4"/>
      <c r="U110" s="4"/>
      <c r="V110" s="4"/>
      <c r="W110" s="4">
        <v>0</v>
      </c>
      <c r="X110" s="4">
        <v>1</v>
      </c>
      <c r="Y110" s="4">
        <v>0</v>
      </c>
      <c r="Z110" s="4"/>
      <c r="AA110" s="4"/>
      <c r="AB110" s="4"/>
    </row>
    <row r="111" spans="1:245" x14ac:dyDescent="0.2">
      <c r="A111" s="4">
        <v>50</v>
      </c>
      <c r="B111" s="4">
        <v>0</v>
      </c>
      <c r="C111" s="4">
        <v>0</v>
      </c>
      <c r="D111" s="4">
        <v>1</v>
      </c>
      <c r="E111" s="4">
        <v>225</v>
      </c>
      <c r="F111" s="4">
        <f>ROUND(Source!AV106,O111)</f>
        <v>0</v>
      </c>
      <c r="G111" s="4" t="s">
        <v>23</v>
      </c>
      <c r="H111" s="4" t="s">
        <v>24</v>
      </c>
      <c r="I111" s="4"/>
      <c r="J111" s="4"/>
      <c r="K111" s="4">
        <v>225</v>
      </c>
      <c r="L111" s="4">
        <v>4</v>
      </c>
      <c r="M111" s="4">
        <v>3</v>
      </c>
      <c r="N111" s="4" t="s">
        <v>3</v>
      </c>
      <c r="O111" s="4">
        <v>2</v>
      </c>
      <c r="P111" s="4"/>
      <c r="Q111" s="4"/>
      <c r="R111" s="4"/>
      <c r="S111" s="4"/>
      <c r="T111" s="4"/>
      <c r="U111" s="4"/>
      <c r="V111" s="4"/>
      <c r="W111" s="4">
        <v>0</v>
      </c>
      <c r="X111" s="4">
        <v>1</v>
      </c>
      <c r="Y111" s="4">
        <v>0</v>
      </c>
      <c r="Z111" s="4"/>
      <c r="AA111" s="4"/>
      <c r="AB111" s="4"/>
    </row>
    <row r="112" spans="1:245" x14ac:dyDescent="0.2">
      <c r="A112" s="4">
        <v>50</v>
      </c>
      <c r="B112" s="4">
        <v>0</v>
      </c>
      <c r="C112" s="4">
        <v>0</v>
      </c>
      <c r="D112" s="4">
        <v>1</v>
      </c>
      <c r="E112" s="4">
        <v>226</v>
      </c>
      <c r="F112" s="4">
        <f>ROUND(Source!AW106,O112)</f>
        <v>0</v>
      </c>
      <c r="G112" s="4" t="s">
        <v>25</v>
      </c>
      <c r="H112" s="4" t="s">
        <v>26</v>
      </c>
      <c r="I112" s="4"/>
      <c r="J112" s="4"/>
      <c r="K112" s="4">
        <v>226</v>
      </c>
      <c r="L112" s="4">
        <v>5</v>
      </c>
      <c r="M112" s="4">
        <v>3</v>
      </c>
      <c r="N112" s="4" t="s">
        <v>3</v>
      </c>
      <c r="O112" s="4">
        <v>2</v>
      </c>
      <c r="P112" s="4"/>
      <c r="Q112" s="4"/>
      <c r="R112" s="4"/>
      <c r="S112" s="4"/>
      <c r="T112" s="4"/>
      <c r="U112" s="4"/>
      <c r="V112" s="4"/>
      <c r="W112" s="4">
        <v>0</v>
      </c>
      <c r="X112" s="4">
        <v>1</v>
      </c>
      <c r="Y112" s="4">
        <v>0</v>
      </c>
      <c r="Z112" s="4"/>
      <c r="AA112" s="4"/>
      <c r="AB112" s="4"/>
    </row>
    <row r="113" spans="1:28" x14ac:dyDescent="0.2">
      <c r="A113" s="4">
        <v>50</v>
      </c>
      <c r="B113" s="4">
        <v>0</v>
      </c>
      <c r="C113" s="4">
        <v>0</v>
      </c>
      <c r="D113" s="4">
        <v>1</v>
      </c>
      <c r="E113" s="4">
        <v>227</v>
      </c>
      <c r="F113" s="4">
        <f>ROUND(Source!AX106,O113)</f>
        <v>0</v>
      </c>
      <c r="G113" s="4" t="s">
        <v>27</v>
      </c>
      <c r="H113" s="4" t="s">
        <v>28</v>
      </c>
      <c r="I113" s="4"/>
      <c r="J113" s="4"/>
      <c r="K113" s="4">
        <v>227</v>
      </c>
      <c r="L113" s="4">
        <v>6</v>
      </c>
      <c r="M113" s="4">
        <v>3</v>
      </c>
      <c r="N113" s="4" t="s">
        <v>3</v>
      </c>
      <c r="O113" s="4">
        <v>2</v>
      </c>
      <c r="P113" s="4"/>
      <c r="Q113" s="4"/>
      <c r="R113" s="4"/>
      <c r="S113" s="4"/>
      <c r="T113" s="4"/>
      <c r="U113" s="4"/>
      <c r="V113" s="4"/>
      <c r="W113" s="4">
        <v>0</v>
      </c>
      <c r="X113" s="4">
        <v>1</v>
      </c>
      <c r="Y113" s="4">
        <v>0</v>
      </c>
      <c r="Z113" s="4"/>
      <c r="AA113" s="4"/>
      <c r="AB113" s="4"/>
    </row>
    <row r="114" spans="1:28" x14ac:dyDescent="0.2">
      <c r="A114" s="4">
        <v>50</v>
      </c>
      <c r="B114" s="4">
        <v>0</v>
      </c>
      <c r="C114" s="4">
        <v>0</v>
      </c>
      <c r="D114" s="4">
        <v>1</v>
      </c>
      <c r="E114" s="4">
        <v>228</v>
      </c>
      <c r="F114" s="4">
        <f>ROUND(Source!AY106,O114)</f>
        <v>0</v>
      </c>
      <c r="G114" s="4" t="s">
        <v>29</v>
      </c>
      <c r="H114" s="4" t="s">
        <v>30</v>
      </c>
      <c r="I114" s="4"/>
      <c r="J114" s="4"/>
      <c r="K114" s="4">
        <v>228</v>
      </c>
      <c r="L114" s="4">
        <v>7</v>
      </c>
      <c r="M114" s="4">
        <v>3</v>
      </c>
      <c r="N114" s="4" t="s">
        <v>3</v>
      </c>
      <c r="O114" s="4">
        <v>2</v>
      </c>
      <c r="P114" s="4"/>
      <c r="Q114" s="4"/>
      <c r="R114" s="4"/>
      <c r="S114" s="4"/>
      <c r="T114" s="4"/>
      <c r="U114" s="4"/>
      <c r="V114" s="4"/>
      <c r="W114" s="4">
        <v>0</v>
      </c>
      <c r="X114" s="4">
        <v>1</v>
      </c>
      <c r="Y114" s="4">
        <v>0</v>
      </c>
      <c r="Z114" s="4"/>
      <c r="AA114" s="4"/>
      <c r="AB114" s="4"/>
    </row>
    <row r="115" spans="1:28" x14ac:dyDescent="0.2">
      <c r="A115" s="4">
        <v>50</v>
      </c>
      <c r="B115" s="4">
        <v>0</v>
      </c>
      <c r="C115" s="4">
        <v>0</v>
      </c>
      <c r="D115" s="4">
        <v>1</v>
      </c>
      <c r="E115" s="4">
        <v>216</v>
      </c>
      <c r="F115" s="4">
        <f>ROUND(Source!AP106,O115)</f>
        <v>0</v>
      </c>
      <c r="G115" s="4" t="s">
        <v>31</v>
      </c>
      <c r="H115" s="4" t="s">
        <v>32</v>
      </c>
      <c r="I115" s="4"/>
      <c r="J115" s="4"/>
      <c r="K115" s="4">
        <v>216</v>
      </c>
      <c r="L115" s="4">
        <v>8</v>
      </c>
      <c r="M115" s="4">
        <v>3</v>
      </c>
      <c r="N115" s="4" t="s">
        <v>3</v>
      </c>
      <c r="O115" s="4">
        <v>2</v>
      </c>
      <c r="P115" s="4"/>
      <c r="Q115" s="4"/>
      <c r="R115" s="4"/>
      <c r="S115" s="4"/>
      <c r="T115" s="4"/>
      <c r="U115" s="4"/>
      <c r="V115" s="4"/>
      <c r="W115" s="4">
        <v>0</v>
      </c>
      <c r="X115" s="4">
        <v>1</v>
      </c>
      <c r="Y115" s="4">
        <v>0</v>
      </c>
      <c r="Z115" s="4"/>
      <c r="AA115" s="4"/>
      <c r="AB115" s="4"/>
    </row>
    <row r="116" spans="1:28" x14ac:dyDescent="0.2">
      <c r="A116" s="4">
        <v>50</v>
      </c>
      <c r="B116" s="4">
        <v>0</v>
      </c>
      <c r="C116" s="4">
        <v>0</v>
      </c>
      <c r="D116" s="4">
        <v>1</v>
      </c>
      <c r="E116" s="4">
        <v>223</v>
      </c>
      <c r="F116" s="4">
        <f>ROUND(Source!AQ106,O116)</f>
        <v>0</v>
      </c>
      <c r="G116" s="4" t="s">
        <v>33</v>
      </c>
      <c r="H116" s="4" t="s">
        <v>34</v>
      </c>
      <c r="I116" s="4"/>
      <c r="J116" s="4"/>
      <c r="K116" s="4">
        <v>223</v>
      </c>
      <c r="L116" s="4">
        <v>9</v>
      </c>
      <c r="M116" s="4">
        <v>3</v>
      </c>
      <c r="N116" s="4" t="s">
        <v>3</v>
      </c>
      <c r="O116" s="4">
        <v>2</v>
      </c>
      <c r="P116" s="4"/>
      <c r="Q116" s="4"/>
      <c r="R116" s="4"/>
      <c r="S116" s="4"/>
      <c r="T116" s="4"/>
      <c r="U116" s="4"/>
      <c r="V116" s="4"/>
      <c r="W116" s="4">
        <v>0</v>
      </c>
      <c r="X116" s="4">
        <v>1</v>
      </c>
      <c r="Y116" s="4">
        <v>0</v>
      </c>
      <c r="Z116" s="4"/>
      <c r="AA116" s="4"/>
      <c r="AB116" s="4"/>
    </row>
    <row r="117" spans="1:28" x14ac:dyDescent="0.2">
      <c r="A117" s="4">
        <v>50</v>
      </c>
      <c r="B117" s="4">
        <v>0</v>
      </c>
      <c r="C117" s="4">
        <v>0</v>
      </c>
      <c r="D117" s="4">
        <v>1</v>
      </c>
      <c r="E117" s="4">
        <v>229</v>
      </c>
      <c r="F117" s="4">
        <f>ROUND(Source!AZ106,O117)</f>
        <v>0</v>
      </c>
      <c r="G117" s="4" t="s">
        <v>35</v>
      </c>
      <c r="H117" s="4" t="s">
        <v>36</v>
      </c>
      <c r="I117" s="4"/>
      <c r="J117" s="4"/>
      <c r="K117" s="4">
        <v>229</v>
      </c>
      <c r="L117" s="4">
        <v>10</v>
      </c>
      <c r="M117" s="4">
        <v>3</v>
      </c>
      <c r="N117" s="4" t="s">
        <v>3</v>
      </c>
      <c r="O117" s="4">
        <v>2</v>
      </c>
      <c r="P117" s="4"/>
      <c r="Q117" s="4"/>
      <c r="R117" s="4"/>
      <c r="S117" s="4"/>
      <c r="T117" s="4"/>
      <c r="U117" s="4"/>
      <c r="V117" s="4"/>
      <c r="W117" s="4">
        <v>0</v>
      </c>
      <c r="X117" s="4">
        <v>1</v>
      </c>
      <c r="Y117" s="4">
        <v>0</v>
      </c>
      <c r="Z117" s="4"/>
      <c r="AA117" s="4"/>
      <c r="AB117" s="4"/>
    </row>
    <row r="118" spans="1:28" x14ac:dyDescent="0.2">
      <c r="A118" s="4">
        <v>50</v>
      </c>
      <c r="B118" s="4">
        <v>0</v>
      </c>
      <c r="C118" s="4">
        <v>0</v>
      </c>
      <c r="D118" s="4">
        <v>1</v>
      </c>
      <c r="E118" s="4">
        <v>203</v>
      </c>
      <c r="F118" s="4">
        <f>ROUND(Source!Q106,O118)</f>
        <v>22955.29</v>
      </c>
      <c r="G118" s="4" t="s">
        <v>37</v>
      </c>
      <c r="H118" s="4" t="s">
        <v>38</v>
      </c>
      <c r="I118" s="4"/>
      <c r="J118" s="4"/>
      <c r="K118" s="4">
        <v>203</v>
      </c>
      <c r="L118" s="4">
        <v>11</v>
      </c>
      <c r="M118" s="4">
        <v>3</v>
      </c>
      <c r="N118" s="4" t="s">
        <v>3</v>
      </c>
      <c r="O118" s="4">
        <v>2</v>
      </c>
      <c r="P118" s="4"/>
      <c r="Q118" s="4"/>
      <c r="R118" s="4"/>
      <c r="S118" s="4"/>
      <c r="T118" s="4"/>
      <c r="U118" s="4"/>
      <c r="V118" s="4"/>
      <c r="W118" s="4">
        <v>22955.29</v>
      </c>
      <c r="X118" s="4">
        <v>1</v>
      </c>
      <c r="Y118" s="4">
        <v>22955.29</v>
      </c>
      <c r="Z118" s="4"/>
      <c r="AA118" s="4"/>
      <c r="AB118" s="4"/>
    </row>
    <row r="119" spans="1:28" x14ac:dyDescent="0.2">
      <c r="A119" s="4">
        <v>50</v>
      </c>
      <c r="B119" s="4">
        <v>0</v>
      </c>
      <c r="C119" s="4">
        <v>0</v>
      </c>
      <c r="D119" s="4">
        <v>1</v>
      </c>
      <c r="E119" s="4">
        <v>231</v>
      </c>
      <c r="F119" s="4">
        <f>ROUND(Source!BB106,O119)</f>
        <v>0</v>
      </c>
      <c r="G119" s="4" t="s">
        <v>39</v>
      </c>
      <c r="H119" s="4" t="s">
        <v>40</v>
      </c>
      <c r="I119" s="4"/>
      <c r="J119" s="4"/>
      <c r="K119" s="4">
        <v>231</v>
      </c>
      <c r="L119" s="4">
        <v>12</v>
      </c>
      <c r="M119" s="4">
        <v>3</v>
      </c>
      <c r="N119" s="4" t="s">
        <v>3</v>
      </c>
      <c r="O119" s="4">
        <v>2</v>
      </c>
      <c r="P119" s="4"/>
      <c r="Q119" s="4"/>
      <c r="R119" s="4"/>
      <c r="S119" s="4"/>
      <c r="T119" s="4"/>
      <c r="U119" s="4"/>
      <c r="V119" s="4"/>
      <c r="W119" s="4">
        <v>0</v>
      </c>
      <c r="X119" s="4">
        <v>1</v>
      </c>
      <c r="Y119" s="4">
        <v>0</v>
      </c>
      <c r="Z119" s="4"/>
      <c r="AA119" s="4"/>
      <c r="AB119" s="4"/>
    </row>
    <row r="120" spans="1:28" x14ac:dyDescent="0.2">
      <c r="A120" s="4">
        <v>50</v>
      </c>
      <c r="B120" s="4">
        <v>0</v>
      </c>
      <c r="C120" s="4">
        <v>0</v>
      </c>
      <c r="D120" s="4">
        <v>1</v>
      </c>
      <c r="E120" s="4">
        <v>204</v>
      </c>
      <c r="F120" s="4">
        <f>ROUND(Source!R106,O120)</f>
        <v>12037.92</v>
      </c>
      <c r="G120" s="4" t="s">
        <v>41</v>
      </c>
      <c r="H120" s="4" t="s">
        <v>42</v>
      </c>
      <c r="I120" s="4"/>
      <c r="J120" s="4"/>
      <c r="K120" s="4">
        <v>204</v>
      </c>
      <c r="L120" s="4">
        <v>13</v>
      </c>
      <c r="M120" s="4">
        <v>3</v>
      </c>
      <c r="N120" s="4" t="s">
        <v>3</v>
      </c>
      <c r="O120" s="4">
        <v>2</v>
      </c>
      <c r="P120" s="4"/>
      <c r="Q120" s="4"/>
      <c r="R120" s="4"/>
      <c r="S120" s="4"/>
      <c r="T120" s="4"/>
      <c r="U120" s="4"/>
      <c r="V120" s="4"/>
      <c r="W120" s="4">
        <v>12037.92</v>
      </c>
      <c r="X120" s="4">
        <v>1</v>
      </c>
      <c r="Y120" s="4">
        <v>12037.92</v>
      </c>
      <c r="Z120" s="4"/>
      <c r="AA120" s="4"/>
      <c r="AB120" s="4"/>
    </row>
    <row r="121" spans="1:28" x14ac:dyDescent="0.2">
      <c r="A121" s="4">
        <v>50</v>
      </c>
      <c r="B121" s="4">
        <v>0</v>
      </c>
      <c r="C121" s="4">
        <v>0</v>
      </c>
      <c r="D121" s="4">
        <v>1</v>
      </c>
      <c r="E121" s="4">
        <v>205</v>
      </c>
      <c r="F121" s="4">
        <f>ROUND(Source!S106,O121)</f>
        <v>75907.06</v>
      </c>
      <c r="G121" s="4" t="s">
        <v>43</v>
      </c>
      <c r="H121" s="4" t="s">
        <v>44</v>
      </c>
      <c r="I121" s="4"/>
      <c r="J121" s="4"/>
      <c r="K121" s="4">
        <v>205</v>
      </c>
      <c r="L121" s="4">
        <v>14</v>
      </c>
      <c r="M121" s="4">
        <v>3</v>
      </c>
      <c r="N121" s="4" t="s">
        <v>3</v>
      </c>
      <c r="O121" s="4">
        <v>2</v>
      </c>
      <c r="P121" s="4"/>
      <c r="Q121" s="4"/>
      <c r="R121" s="4"/>
      <c r="S121" s="4"/>
      <c r="T121" s="4"/>
      <c r="U121" s="4"/>
      <c r="V121" s="4"/>
      <c r="W121" s="4">
        <v>75907.06</v>
      </c>
      <c r="X121" s="4">
        <v>1</v>
      </c>
      <c r="Y121" s="4">
        <v>75907.06</v>
      </c>
      <c r="Z121" s="4"/>
      <c r="AA121" s="4"/>
      <c r="AB121" s="4"/>
    </row>
    <row r="122" spans="1:28" x14ac:dyDescent="0.2">
      <c r="A122" s="4">
        <v>50</v>
      </c>
      <c r="B122" s="4">
        <v>0</v>
      </c>
      <c r="C122" s="4">
        <v>0</v>
      </c>
      <c r="D122" s="4">
        <v>1</v>
      </c>
      <c r="E122" s="4">
        <v>232</v>
      </c>
      <c r="F122" s="4">
        <f>ROUND(Source!BC106,O122)</f>
        <v>0</v>
      </c>
      <c r="G122" s="4" t="s">
        <v>45</v>
      </c>
      <c r="H122" s="4" t="s">
        <v>46</v>
      </c>
      <c r="I122" s="4"/>
      <c r="J122" s="4"/>
      <c r="K122" s="4">
        <v>232</v>
      </c>
      <c r="L122" s="4">
        <v>15</v>
      </c>
      <c r="M122" s="4">
        <v>3</v>
      </c>
      <c r="N122" s="4" t="s">
        <v>3</v>
      </c>
      <c r="O122" s="4">
        <v>2</v>
      </c>
      <c r="P122" s="4"/>
      <c r="Q122" s="4"/>
      <c r="R122" s="4"/>
      <c r="S122" s="4"/>
      <c r="T122" s="4"/>
      <c r="U122" s="4"/>
      <c r="V122" s="4"/>
      <c r="W122" s="4">
        <v>0</v>
      </c>
      <c r="X122" s="4">
        <v>1</v>
      </c>
      <c r="Y122" s="4">
        <v>0</v>
      </c>
      <c r="Z122" s="4"/>
      <c r="AA122" s="4"/>
      <c r="AB122" s="4"/>
    </row>
    <row r="123" spans="1:28" x14ac:dyDescent="0.2">
      <c r="A123" s="4">
        <v>50</v>
      </c>
      <c r="B123" s="4">
        <v>0</v>
      </c>
      <c r="C123" s="4">
        <v>0</v>
      </c>
      <c r="D123" s="4">
        <v>1</v>
      </c>
      <c r="E123" s="4">
        <v>214</v>
      </c>
      <c r="F123" s="4">
        <f>ROUND(Source!AS106,O123)</f>
        <v>0</v>
      </c>
      <c r="G123" s="4" t="s">
        <v>47</v>
      </c>
      <c r="H123" s="4" t="s">
        <v>48</v>
      </c>
      <c r="I123" s="4"/>
      <c r="J123" s="4"/>
      <c r="K123" s="4">
        <v>214</v>
      </c>
      <c r="L123" s="4">
        <v>16</v>
      </c>
      <c r="M123" s="4">
        <v>3</v>
      </c>
      <c r="N123" s="4" t="s">
        <v>3</v>
      </c>
      <c r="O123" s="4">
        <v>2</v>
      </c>
      <c r="P123" s="4"/>
      <c r="Q123" s="4"/>
      <c r="R123" s="4"/>
      <c r="S123" s="4"/>
      <c r="T123" s="4"/>
      <c r="U123" s="4"/>
      <c r="V123" s="4"/>
      <c r="W123" s="4">
        <v>0</v>
      </c>
      <c r="X123" s="4">
        <v>1</v>
      </c>
      <c r="Y123" s="4">
        <v>0</v>
      </c>
      <c r="Z123" s="4"/>
      <c r="AA123" s="4"/>
      <c r="AB123" s="4"/>
    </row>
    <row r="124" spans="1:28" x14ac:dyDescent="0.2">
      <c r="A124" s="4">
        <v>50</v>
      </c>
      <c r="B124" s="4">
        <v>0</v>
      </c>
      <c r="C124" s="4">
        <v>0</v>
      </c>
      <c r="D124" s="4">
        <v>1</v>
      </c>
      <c r="E124" s="4">
        <v>215</v>
      </c>
      <c r="F124" s="4">
        <f>ROUND(Source!AT106,O124)</f>
        <v>241058.84</v>
      </c>
      <c r="G124" s="4" t="s">
        <v>49</v>
      </c>
      <c r="H124" s="4" t="s">
        <v>50</v>
      </c>
      <c r="I124" s="4"/>
      <c r="J124" s="4"/>
      <c r="K124" s="4">
        <v>215</v>
      </c>
      <c r="L124" s="4">
        <v>17</v>
      </c>
      <c r="M124" s="4">
        <v>3</v>
      </c>
      <c r="N124" s="4" t="s">
        <v>3</v>
      </c>
      <c r="O124" s="4">
        <v>2</v>
      </c>
      <c r="P124" s="4"/>
      <c r="Q124" s="4"/>
      <c r="R124" s="4"/>
      <c r="S124" s="4"/>
      <c r="T124" s="4"/>
      <c r="U124" s="4"/>
      <c r="V124" s="4"/>
      <c r="W124" s="4">
        <v>241058.84</v>
      </c>
      <c r="X124" s="4">
        <v>1</v>
      </c>
      <c r="Y124" s="4">
        <v>241058.84</v>
      </c>
      <c r="Z124" s="4"/>
      <c r="AA124" s="4"/>
      <c r="AB124" s="4"/>
    </row>
    <row r="125" spans="1:28" x14ac:dyDescent="0.2">
      <c r="A125" s="4">
        <v>50</v>
      </c>
      <c r="B125" s="4">
        <v>0</v>
      </c>
      <c r="C125" s="4">
        <v>0</v>
      </c>
      <c r="D125" s="4">
        <v>1</v>
      </c>
      <c r="E125" s="4">
        <v>217</v>
      </c>
      <c r="F125" s="4">
        <f>ROUND(Source!AU106,O125)</f>
        <v>0</v>
      </c>
      <c r="G125" s="4" t="s">
        <v>51</v>
      </c>
      <c r="H125" s="4" t="s">
        <v>52</v>
      </c>
      <c r="I125" s="4"/>
      <c r="J125" s="4"/>
      <c r="K125" s="4">
        <v>217</v>
      </c>
      <c r="L125" s="4">
        <v>18</v>
      </c>
      <c r="M125" s="4">
        <v>3</v>
      </c>
      <c r="N125" s="4" t="s">
        <v>3</v>
      </c>
      <c r="O125" s="4">
        <v>2</v>
      </c>
      <c r="P125" s="4"/>
      <c r="Q125" s="4"/>
      <c r="R125" s="4"/>
      <c r="S125" s="4"/>
      <c r="T125" s="4"/>
      <c r="U125" s="4"/>
      <c r="V125" s="4"/>
      <c r="W125" s="4">
        <v>0</v>
      </c>
      <c r="X125" s="4">
        <v>1</v>
      </c>
      <c r="Y125" s="4">
        <v>0</v>
      </c>
      <c r="Z125" s="4"/>
      <c r="AA125" s="4"/>
      <c r="AB125" s="4"/>
    </row>
    <row r="126" spans="1:28" x14ac:dyDescent="0.2">
      <c r="A126" s="4">
        <v>50</v>
      </c>
      <c r="B126" s="4">
        <v>0</v>
      </c>
      <c r="C126" s="4">
        <v>0</v>
      </c>
      <c r="D126" s="4">
        <v>1</v>
      </c>
      <c r="E126" s="4">
        <v>230</v>
      </c>
      <c r="F126" s="4">
        <f>ROUND(Source!BA106,O126)</f>
        <v>0</v>
      </c>
      <c r="G126" s="4" t="s">
        <v>53</v>
      </c>
      <c r="H126" s="4" t="s">
        <v>54</v>
      </c>
      <c r="I126" s="4"/>
      <c r="J126" s="4"/>
      <c r="K126" s="4">
        <v>230</v>
      </c>
      <c r="L126" s="4">
        <v>19</v>
      </c>
      <c r="M126" s="4">
        <v>3</v>
      </c>
      <c r="N126" s="4" t="s">
        <v>3</v>
      </c>
      <c r="O126" s="4">
        <v>2</v>
      </c>
      <c r="P126" s="4"/>
      <c r="Q126" s="4"/>
      <c r="R126" s="4"/>
      <c r="S126" s="4"/>
      <c r="T126" s="4"/>
      <c r="U126" s="4"/>
      <c r="V126" s="4"/>
      <c r="W126" s="4">
        <v>0</v>
      </c>
      <c r="X126" s="4">
        <v>1</v>
      </c>
      <c r="Y126" s="4">
        <v>0</v>
      </c>
      <c r="Z126" s="4"/>
      <c r="AA126" s="4"/>
      <c r="AB126" s="4"/>
    </row>
    <row r="127" spans="1:28" x14ac:dyDescent="0.2">
      <c r="A127" s="4">
        <v>50</v>
      </c>
      <c r="B127" s="4">
        <v>0</v>
      </c>
      <c r="C127" s="4">
        <v>0</v>
      </c>
      <c r="D127" s="4">
        <v>1</v>
      </c>
      <c r="E127" s="4">
        <v>206</v>
      </c>
      <c r="F127" s="4">
        <f>ROUND(Source!T106,O127)</f>
        <v>0</v>
      </c>
      <c r="G127" s="4" t="s">
        <v>55</v>
      </c>
      <c r="H127" s="4" t="s">
        <v>56</v>
      </c>
      <c r="I127" s="4"/>
      <c r="J127" s="4"/>
      <c r="K127" s="4">
        <v>206</v>
      </c>
      <c r="L127" s="4">
        <v>20</v>
      </c>
      <c r="M127" s="4">
        <v>3</v>
      </c>
      <c r="N127" s="4" t="s">
        <v>3</v>
      </c>
      <c r="O127" s="4">
        <v>2</v>
      </c>
      <c r="P127" s="4"/>
      <c r="Q127" s="4"/>
      <c r="R127" s="4"/>
      <c r="S127" s="4"/>
      <c r="T127" s="4"/>
      <c r="U127" s="4"/>
      <c r="V127" s="4"/>
      <c r="W127" s="4">
        <v>0</v>
      </c>
      <c r="X127" s="4">
        <v>1</v>
      </c>
      <c r="Y127" s="4">
        <v>0</v>
      </c>
      <c r="Z127" s="4"/>
      <c r="AA127" s="4"/>
      <c r="AB127" s="4"/>
    </row>
    <row r="128" spans="1:28" x14ac:dyDescent="0.2">
      <c r="A128" s="4">
        <v>50</v>
      </c>
      <c r="B128" s="4">
        <v>0</v>
      </c>
      <c r="C128" s="4">
        <v>0</v>
      </c>
      <c r="D128" s="4">
        <v>1</v>
      </c>
      <c r="E128" s="4">
        <v>207</v>
      </c>
      <c r="F128" s="4">
        <f>ROUND(Source!U106,O128)</f>
        <v>158.28479999999999</v>
      </c>
      <c r="G128" s="4" t="s">
        <v>57</v>
      </c>
      <c r="H128" s="4" t="s">
        <v>58</v>
      </c>
      <c r="I128" s="4"/>
      <c r="J128" s="4"/>
      <c r="K128" s="4">
        <v>207</v>
      </c>
      <c r="L128" s="4">
        <v>21</v>
      </c>
      <c r="M128" s="4">
        <v>3</v>
      </c>
      <c r="N128" s="4" t="s">
        <v>3</v>
      </c>
      <c r="O128" s="4">
        <v>7</v>
      </c>
      <c r="P128" s="4"/>
      <c r="Q128" s="4"/>
      <c r="R128" s="4"/>
      <c r="S128" s="4"/>
      <c r="T128" s="4"/>
      <c r="U128" s="4"/>
      <c r="V128" s="4"/>
      <c r="W128" s="4">
        <v>158.28479999999999</v>
      </c>
      <c r="X128" s="4">
        <v>1</v>
      </c>
      <c r="Y128" s="4">
        <v>158.28479999999999</v>
      </c>
      <c r="Z128" s="4"/>
      <c r="AA128" s="4"/>
      <c r="AB128" s="4"/>
    </row>
    <row r="129" spans="1:245" x14ac:dyDescent="0.2">
      <c r="A129" s="4">
        <v>50</v>
      </c>
      <c r="B129" s="4">
        <v>0</v>
      </c>
      <c r="C129" s="4">
        <v>0</v>
      </c>
      <c r="D129" s="4">
        <v>1</v>
      </c>
      <c r="E129" s="4">
        <v>208</v>
      </c>
      <c r="F129" s="4">
        <f>ROUND(Source!V106,O129)</f>
        <v>20.944800000000001</v>
      </c>
      <c r="G129" s="4" t="s">
        <v>59</v>
      </c>
      <c r="H129" s="4" t="s">
        <v>60</v>
      </c>
      <c r="I129" s="4"/>
      <c r="J129" s="4"/>
      <c r="K129" s="4">
        <v>208</v>
      </c>
      <c r="L129" s="4">
        <v>22</v>
      </c>
      <c r="M129" s="4">
        <v>3</v>
      </c>
      <c r="N129" s="4" t="s">
        <v>3</v>
      </c>
      <c r="O129" s="4">
        <v>7</v>
      </c>
      <c r="P129" s="4"/>
      <c r="Q129" s="4"/>
      <c r="R129" s="4"/>
      <c r="S129" s="4"/>
      <c r="T129" s="4"/>
      <c r="U129" s="4"/>
      <c r="V129" s="4"/>
      <c r="W129" s="4">
        <v>20.944800000000001</v>
      </c>
      <c r="X129" s="4">
        <v>1</v>
      </c>
      <c r="Y129" s="4">
        <v>20.944800000000001</v>
      </c>
      <c r="Z129" s="4"/>
      <c r="AA129" s="4"/>
      <c r="AB129" s="4"/>
    </row>
    <row r="130" spans="1:245" x14ac:dyDescent="0.2">
      <c r="A130" s="4">
        <v>50</v>
      </c>
      <c r="B130" s="4">
        <v>0</v>
      </c>
      <c r="C130" s="4">
        <v>0</v>
      </c>
      <c r="D130" s="4">
        <v>1</v>
      </c>
      <c r="E130" s="4">
        <v>209</v>
      </c>
      <c r="F130" s="4">
        <f>ROUND(Source!W106,O130)</f>
        <v>0</v>
      </c>
      <c r="G130" s="4" t="s">
        <v>61</v>
      </c>
      <c r="H130" s="4" t="s">
        <v>62</v>
      </c>
      <c r="I130" s="4"/>
      <c r="J130" s="4"/>
      <c r="K130" s="4">
        <v>209</v>
      </c>
      <c r="L130" s="4">
        <v>23</v>
      </c>
      <c r="M130" s="4">
        <v>3</v>
      </c>
      <c r="N130" s="4" t="s">
        <v>3</v>
      </c>
      <c r="O130" s="4">
        <v>2</v>
      </c>
      <c r="P130" s="4"/>
      <c r="Q130" s="4"/>
      <c r="R130" s="4"/>
      <c r="S130" s="4"/>
      <c r="T130" s="4"/>
      <c r="U130" s="4"/>
      <c r="V130" s="4"/>
      <c r="W130" s="4">
        <v>0</v>
      </c>
      <c r="X130" s="4">
        <v>1</v>
      </c>
      <c r="Y130" s="4">
        <v>0</v>
      </c>
      <c r="Z130" s="4"/>
      <c r="AA130" s="4"/>
      <c r="AB130" s="4"/>
    </row>
    <row r="131" spans="1:245" x14ac:dyDescent="0.2">
      <c r="A131" s="4">
        <v>50</v>
      </c>
      <c r="B131" s="4">
        <v>0</v>
      </c>
      <c r="C131" s="4">
        <v>0</v>
      </c>
      <c r="D131" s="4">
        <v>1</v>
      </c>
      <c r="E131" s="4">
        <v>233</v>
      </c>
      <c r="F131" s="4">
        <f>ROUND(Source!BD106,O131)</f>
        <v>0</v>
      </c>
      <c r="G131" s="4" t="s">
        <v>63</v>
      </c>
      <c r="H131" s="4" t="s">
        <v>64</v>
      </c>
      <c r="I131" s="4"/>
      <c r="J131" s="4"/>
      <c r="K131" s="4">
        <v>233</v>
      </c>
      <c r="L131" s="4">
        <v>24</v>
      </c>
      <c r="M131" s="4">
        <v>3</v>
      </c>
      <c r="N131" s="4" t="s">
        <v>3</v>
      </c>
      <c r="O131" s="4">
        <v>2</v>
      </c>
      <c r="P131" s="4"/>
      <c r="Q131" s="4"/>
      <c r="R131" s="4"/>
      <c r="S131" s="4"/>
      <c r="T131" s="4"/>
      <c r="U131" s="4"/>
      <c r="V131" s="4"/>
      <c r="W131" s="4">
        <v>0</v>
      </c>
      <c r="X131" s="4">
        <v>1</v>
      </c>
      <c r="Y131" s="4">
        <v>0</v>
      </c>
      <c r="Z131" s="4"/>
      <c r="AA131" s="4"/>
      <c r="AB131" s="4"/>
    </row>
    <row r="132" spans="1:245" x14ac:dyDescent="0.2">
      <c r="A132" s="4">
        <v>50</v>
      </c>
      <c r="B132" s="4">
        <v>0</v>
      </c>
      <c r="C132" s="4">
        <v>0</v>
      </c>
      <c r="D132" s="4">
        <v>1</v>
      </c>
      <c r="E132" s="4">
        <v>210</v>
      </c>
      <c r="F132" s="4">
        <f>ROUND(Source!X106,O132)</f>
        <v>85306.63</v>
      </c>
      <c r="G132" s="4" t="s">
        <v>65</v>
      </c>
      <c r="H132" s="4" t="s">
        <v>66</v>
      </c>
      <c r="I132" s="4"/>
      <c r="J132" s="4"/>
      <c r="K132" s="4">
        <v>210</v>
      </c>
      <c r="L132" s="4">
        <v>25</v>
      </c>
      <c r="M132" s="4">
        <v>3</v>
      </c>
      <c r="N132" s="4" t="s">
        <v>3</v>
      </c>
      <c r="O132" s="4">
        <v>2</v>
      </c>
      <c r="P132" s="4"/>
      <c r="Q132" s="4"/>
      <c r="R132" s="4"/>
      <c r="S132" s="4"/>
      <c r="T132" s="4"/>
      <c r="U132" s="4"/>
      <c r="V132" s="4"/>
      <c r="W132" s="4">
        <v>85306.63</v>
      </c>
      <c r="X132" s="4">
        <v>1</v>
      </c>
      <c r="Y132" s="4">
        <v>85306.63</v>
      </c>
      <c r="Z132" s="4"/>
      <c r="AA132" s="4"/>
      <c r="AB132" s="4"/>
    </row>
    <row r="133" spans="1:245" x14ac:dyDescent="0.2">
      <c r="A133" s="4">
        <v>50</v>
      </c>
      <c r="B133" s="4">
        <v>0</v>
      </c>
      <c r="C133" s="4">
        <v>0</v>
      </c>
      <c r="D133" s="4">
        <v>1</v>
      </c>
      <c r="E133" s="4">
        <v>211</v>
      </c>
      <c r="F133" s="4">
        <f>ROUND(Source!Y106,O133)</f>
        <v>44851.94</v>
      </c>
      <c r="G133" s="4" t="s">
        <v>67</v>
      </c>
      <c r="H133" s="4" t="s">
        <v>68</v>
      </c>
      <c r="I133" s="4"/>
      <c r="J133" s="4"/>
      <c r="K133" s="4">
        <v>211</v>
      </c>
      <c r="L133" s="4">
        <v>26</v>
      </c>
      <c r="M133" s="4">
        <v>3</v>
      </c>
      <c r="N133" s="4" t="s">
        <v>3</v>
      </c>
      <c r="O133" s="4">
        <v>2</v>
      </c>
      <c r="P133" s="4"/>
      <c r="Q133" s="4"/>
      <c r="R133" s="4"/>
      <c r="S133" s="4"/>
      <c r="T133" s="4"/>
      <c r="U133" s="4"/>
      <c r="V133" s="4"/>
      <c r="W133" s="4">
        <v>44851.94</v>
      </c>
      <c r="X133" s="4">
        <v>1</v>
      </c>
      <c r="Y133" s="4">
        <v>44851.94</v>
      </c>
      <c r="Z133" s="4"/>
      <c r="AA133" s="4"/>
      <c r="AB133" s="4"/>
    </row>
    <row r="134" spans="1:245" x14ac:dyDescent="0.2">
      <c r="A134" s="4">
        <v>50</v>
      </c>
      <c r="B134" s="4">
        <v>0</v>
      </c>
      <c r="C134" s="4">
        <v>0</v>
      </c>
      <c r="D134" s="4">
        <v>1</v>
      </c>
      <c r="E134" s="4">
        <v>224</v>
      </c>
      <c r="F134" s="4">
        <f>ROUND(Source!AR106,O134)</f>
        <v>241058.84</v>
      </c>
      <c r="G134" s="4" t="s">
        <v>69</v>
      </c>
      <c r="H134" s="4" t="s">
        <v>70</v>
      </c>
      <c r="I134" s="4"/>
      <c r="J134" s="4"/>
      <c r="K134" s="4">
        <v>224</v>
      </c>
      <c r="L134" s="4">
        <v>27</v>
      </c>
      <c r="M134" s="4">
        <v>3</v>
      </c>
      <c r="N134" s="4" t="s">
        <v>3</v>
      </c>
      <c r="O134" s="4">
        <v>2</v>
      </c>
      <c r="P134" s="4"/>
      <c r="Q134" s="4"/>
      <c r="R134" s="4"/>
      <c r="S134" s="4"/>
      <c r="T134" s="4"/>
      <c r="U134" s="4"/>
      <c r="V134" s="4"/>
      <c r="W134" s="4">
        <v>241058.84000000003</v>
      </c>
      <c r="X134" s="4">
        <v>1</v>
      </c>
      <c r="Y134" s="4">
        <v>241058.84000000003</v>
      </c>
      <c r="Z134" s="4"/>
      <c r="AA134" s="4"/>
      <c r="AB134" s="4"/>
    </row>
    <row r="136" spans="1:245" x14ac:dyDescent="0.2">
      <c r="A136" s="1">
        <v>4</v>
      </c>
      <c r="B136" s="1">
        <v>1</v>
      </c>
      <c r="C136" s="1"/>
      <c r="D136" s="1">
        <f>ROW(A147)</f>
        <v>147</v>
      </c>
      <c r="E136" s="1"/>
      <c r="F136" s="1" t="s">
        <v>72</v>
      </c>
      <c r="G136" s="1" t="s">
        <v>128</v>
      </c>
      <c r="H136" s="1" t="s">
        <v>3</v>
      </c>
      <c r="I136" s="1">
        <v>0</v>
      </c>
      <c r="J136" s="1"/>
      <c r="K136" s="1">
        <v>0</v>
      </c>
      <c r="L136" s="1"/>
      <c r="M136" s="1" t="s">
        <v>3</v>
      </c>
      <c r="N136" s="1"/>
      <c r="O136" s="1"/>
      <c r="P136" s="1"/>
      <c r="Q136" s="1"/>
      <c r="R136" s="1"/>
      <c r="S136" s="1">
        <v>0</v>
      </c>
      <c r="T136" s="1"/>
      <c r="U136" s="1" t="s">
        <v>3</v>
      </c>
      <c r="V136" s="1">
        <v>0</v>
      </c>
      <c r="W136" s="1"/>
      <c r="X136" s="1"/>
      <c r="Y136" s="1"/>
      <c r="Z136" s="1"/>
      <c r="AA136" s="1"/>
      <c r="AB136" s="1" t="s">
        <v>3</v>
      </c>
      <c r="AC136" s="1" t="s">
        <v>3</v>
      </c>
      <c r="AD136" s="1" t="s">
        <v>3</v>
      </c>
      <c r="AE136" s="1" t="s">
        <v>3</v>
      </c>
      <c r="AF136" s="1" t="s">
        <v>3</v>
      </c>
      <c r="AG136" s="1" t="s">
        <v>3</v>
      </c>
      <c r="AH136" s="1"/>
      <c r="AI136" s="1"/>
      <c r="AJ136" s="1"/>
      <c r="AK136" s="1"/>
      <c r="AL136" s="1"/>
      <c r="AM136" s="1"/>
      <c r="AN136" s="1"/>
      <c r="AO136" s="1"/>
      <c r="AP136" s="1" t="s">
        <v>3</v>
      </c>
      <c r="AQ136" s="1" t="s">
        <v>3</v>
      </c>
      <c r="AR136" s="1" t="s">
        <v>3</v>
      </c>
      <c r="AS136" s="1"/>
      <c r="AT136" s="1"/>
      <c r="AU136" s="1"/>
      <c r="AV136" s="1"/>
      <c r="AW136" s="1"/>
      <c r="AX136" s="1"/>
      <c r="AY136" s="1"/>
      <c r="AZ136" s="1" t="s">
        <v>3</v>
      </c>
      <c r="BA136" s="1"/>
      <c r="BB136" s="1" t="s">
        <v>3</v>
      </c>
      <c r="BC136" s="1" t="s">
        <v>3</v>
      </c>
      <c r="BD136" s="1" t="s">
        <v>3</v>
      </c>
      <c r="BE136" s="1" t="s">
        <v>3</v>
      </c>
      <c r="BF136" s="1" t="s">
        <v>3</v>
      </c>
      <c r="BG136" s="1" t="s">
        <v>3</v>
      </c>
      <c r="BH136" s="1" t="s">
        <v>3</v>
      </c>
      <c r="BI136" s="1" t="s">
        <v>3</v>
      </c>
      <c r="BJ136" s="1" t="s">
        <v>3</v>
      </c>
      <c r="BK136" s="1" t="s">
        <v>3</v>
      </c>
      <c r="BL136" s="1" t="s">
        <v>3</v>
      </c>
      <c r="BM136" s="1" t="s">
        <v>3</v>
      </c>
      <c r="BN136" s="1" t="s">
        <v>3</v>
      </c>
      <c r="BO136" s="1" t="s">
        <v>3</v>
      </c>
      <c r="BP136" s="1" t="s">
        <v>3</v>
      </c>
      <c r="BQ136" s="1"/>
      <c r="BR136" s="1"/>
      <c r="BS136" s="1"/>
      <c r="BT136" s="1"/>
      <c r="BU136" s="1"/>
      <c r="BV136" s="1"/>
      <c r="BW136" s="1"/>
      <c r="BX136" s="1">
        <v>0</v>
      </c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>
        <v>0</v>
      </c>
    </row>
    <row r="138" spans="1:245" x14ac:dyDescent="0.2">
      <c r="A138" s="2">
        <v>52</v>
      </c>
      <c r="B138" s="2">
        <f t="shared" ref="B138:G138" si="62">B147</f>
        <v>1</v>
      </c>
      <c r="C138" s="2">
        <f t="shared" si="62"/>
        <v>4</v>
      </c>
      <c r="D138" s="2">
        <f t="shared" si="62"/>
        <v>136</v>
      </c>
      <c r="E138" s="2">
        <f t="shared" si="62"/>
        <v>0</v>
      </c>
      <c r="F138" s="2" t="str">
        <f t="shared" si="62"/>
        <v>Новый раздел</v>
      </c>
      <c r="G138" s="2" t="str">
        <f t="shared" si="62"/>
        <v>Монтажные работы</v>
      </c>
      <c r="H138" s="2"/>
      <c r="I138" s="2"/>
      <c r="J138" s="2"/>
      <c r="K138" s="2"/>
      <c r="L138" s="2"/>
      <c r="M138" s="2"/>
      <c r="N138" s="2"/>
      <c r="O138" s="2">
        <f t="shared" ref="O138:AT138" si="63">O147</f>
        <v>540533.14</v>
      </c>
      <c r="P138" s="2">
        <f t="shared" si="63"/>
        <v>30713.68</v>
      </c>
      <c r="Q138" s="2">
        <f t="shared" si="63"/>
        <v>112012.46</v>
      </c>
      <c r="R138" s="2">
        <f t="shared" si="63"/>
        <v>70236.350000000006</v>
      </c>
      <c r="S138" s="2">
        <f t="shared" si="63"/>
        <v>327570.65000000002</v>
      </c>
      <c r="T138" s="2">
        <f t="shared" si="63"/>
        <v>0</v>
      </c>
      <c r="U138" s="2">
        <f t="shared" si="63"/>
        <v>691.98599999999999</v>
      </c>
      <c r="V138" s="2">
        <f t="shared" si="63"/>
        <v>131.196</v>
      </c>
      <c r="W138" s="2">
        <f t="shared" si="63"/>
        <v>0</v>
      </c>
      <c r="X138" s="2">
        <f t="shared" si="63"/>
        <v>385872.79</v>
      </c>
      <c r="Y138" s="2">
        <f t="shared" si="63"/>
        <v>202881.56</v>
      </c>
      <c r="Z138" s="2">
        <f t="shared" si="63"/>
        <v>0</v>
      </c>
      <c r="AA138" s="2">
        <f t="shared" si="63"/>
        <v>0</v>
      </c>
      <c r="AB138" s="2">
        <f t="shared" si="63"/>
        <v>540533.14</v>
      </c>
      <c r="AC138" s="2">
        <f t="shared" si="63"/>
        <v>30713.68</v>
      </c>
      <c r="AD138" s="2">
        <f t="shared" si="63"/>
        <v>112012.46</v>
      </c>
      <c r="AE138" s="2">
        <f t="shared" si="63"/>
        <v>70236.350000000006</v>
      </c>
      <c r="AF138" s="2">
        <f t="shared" si="63"/>
        <v>327570.65000000002</v>
      </c>
      <c r="AG138" s="2">
        <f t="shared" si="63"/>
        <v>0</v>
      </c>
      <c r="AH138" s="2">
        <f t="shared" si="63"/>
        <v>691.98599999999999</v>
      </c>
      <c r="AI138" s="2">
        <f t="shared" si="63"/>
        <v>131.196</v>
      </c>
      <c r="AJ138" s="2">
        <f t="shared" si="63"/>
        <v>0</v>
      </c>
      <c r="AK138" s="2">
        <f t="shared" si="63"/>
        <v>385872.79</v>
      </c>
      <c r="AL138" s="2">
        <f t="shared" si="63"/>
        <v>202881.56</v>
      </c>
      <c r="AM138" s="2">
        <f t="shared" si="63"/>
        <v>0</v>
      </c>
      <c r="AN138" s="2">
        <f t="shared" si="63"/>
        <v>0</v>
      </c>
      <c r="AO138" s="2">
        <f t="shared" si="63"/>
        <v>0</v>
      </c>
      <c r="AP138" s="2">
        <f t="shared" si="63"/>
        <v>0</v>
      </c>
      <c r="AQ138" s="2">
        <f t="shared" si="63"/>
        <v>0</v>
      </c>
      <c r="AR138" s="2">
        <f t="shared" si="63"/>
        <v>1129287.49</v>
      </c>
      <c r="AS138" s="2">
        <f t="shared" si="63"/>
        <v>0</v>
      </c>
      <c r="AT138" s="2">
        <f t="shared" si="63"/>
        <v>1129287.49</v>
      </c>
      <c r="AU138" s="2">
        <f t="shared" ref="AU138:BZ138" si="64">AU147</f>
        <v>0</v>
      </c>
      <c r="AV138" s="2">
        <f t="shared" si="64"/>
        <v>30713.68</v>
      </c>
      <c r="AW138" s="2">
        <f t="shared" si="64"/>
        <v>30713.68</v>
      </c>
      <c r="AX138" s="2">
        <f t="shared" si="64"/>
        <v>0</v>
      </c>
      <c r="AY138" s="2">
        <f t="shared" si="64"/>
        <v>30713.68</v>
      </c>
      <c r="AZ138" s="2">
        <f t="shared" si="64"/>
        <v>0</v>
      </c>
      <c r="BA138" s="2">
        <f t="shared" si="64"/>
        <v>0</v>
      </c>
      <c r="BB138" s="2">
        <f t="shared" si="64"/>
        <v>0</v>
      </c>
      <c r="BC138" s="2">
        <f t="shared" si="64"/>
        <v>0</v>
      </c>
      <c r="BD138" s="2">
        <f t="shared" si="64"/>
        <v>0</v>
      </c>
      <c r="BE138" s="2">
        <f t="shared" si="64"/>
        <v>0</v>
      </c>
      <c r="BF138" s="2">
        <f t="shared" si="64"/>
        <v>0</v>
      </c>
      <c r="BG138" s="2">
        <f t="shared" si="64"/>
        <v>0</v>
      </c>
      <c r="BH138" s="2">
        <f t="shared" si="64"/>
        <v>0</v>
      </c>
      <c r="BI138" s="2">
        <f t="shared" si="64"/>
        <v>0</v>
      </c>
      <c r="BJ138" s="2">
        <f t="shared" si="64"/>
        <v>0</v>
      </c>
      <c r="BK138" s="2">
        <f t="shared" si="64"/>
        <v>0</v>
      </c>
      <c r="BL138" s="2">
        <f t="shared" si="64"/>
        <v>0</v>
      </c>
      <c r="BM138" s="2">
        <f t="shared" si="64"/>
        <v>0</v>
      </c>
      <c r="BN138" s="2">
        <f t="shared" si="64"/>
        <v>0</v>
      </c>
      <c r="BO138" s="2">
        <f t="shared" si="64"/>
        <v>0</v>
      </c>
      <c r="BP138" s="2">
        <f t="shared" si="64"/>
        <v>0</v>
      </c>
      <c r="BQ138" s="2">
        <f t="shared" si="64"/>
        <v>0</v>
      </c>
      <c r="BR138" s="2">
        <f t="shared" si="64"/>
        <v>0</v>
      </c>
      <c r="BS138" s="2">
        <f t="shared" si="64"/>
        <v>0</v>
      </c>
      <c r="BT138" s="2">
        <f t="shared" si="64"/>
        <v>0</v>
      </c>
      <c r="BU138" s="2">
        <f t="shared" si="64"/>
        <v>0</v>
      </c>
      <c r="BV138" s="2">
        <f t="shared" si="64"/>
        <v>0</v>
      </c>
      <c r="BW138" s="2">
        <f t="shared" si="64"/>
        <v>0</v>
      </c>
      <c r="BX138" s="2">
        <f t="shared" si="64"/>
        <v>0</v>
      </c>
      <c r="BY138" s="2">
        <f t="shared" si="64"/>
        <v>0</v>
      </c>
      <c r="BZ138" s="2">
        <f t="shared" si="64"/>
        <v>0</v>
      </c>
      <c r="CA138" s="2">
        <f t="shared" ref="CA138:DF138" si="65">CA147</f>
        <v>1129287.49</v>
      </c>
      <c r="CB138" s="2">
        <f t="shared" si="65"/>
        <v>0</v>
      </c>
      <c r="CC138" s="2">
        <f t="shared" si="65"/>
        <v>1129287.49</v>
      </c>
      <c r="CD138" s="2">
        <f t="shared" si="65"/>
        <v>0</v>
      </c>
      <c r="CE138" s="2">
        <f t="shared" si="65"/>
        <v>30713.68</v>
      </c>
      <c r="CF138" s="2">
        <f t="shared" si="65"/>
        <v>30713.68</v>
      </c>
      <c r="CG138" s="2">
        <f t="shared" si="65"/>
        <v>0</v>
      </c>
      <c r="CH138" s="2">
        <f t="shared" si="65"/>
        <v>30713.68</v>
      </c>
      <c r="CI138" s="2">
        <f t="shared" si="65"/>
        <v>0</v>
      </c>
      <c r="CJ138" s="2">
        <f t="shared" si="65"/>
        <v>0</v>
      </c>
      <c r="CK138" s="2">
        <f t="shared" si="65"/>
        <v>0</v>
      </c>
      <c r="CL138" s="2">
        <f t="shared" si="65"/>
        <v>0</v>
      </c>
      <c r="CM138" s="2">
        <f t="shared" si="65"/>
        <v>0</v>
      </c>
      <c r="CN138" s="2">
        <f t="shared" si="65"/>
        <v>0</v>
      </c>
      <c r="CO138" s="2">
        <f t="shared" si="65"/>
        <v>0</v>
      </c>
      <c r="CP138" s="2">
        <f t="shared" si="65"/>
        <v>0</v>
      </c>
      <c r="CQ138" s="2">
        <f t="shared" si="65"/>
        <v>0</v>
      </c>
      <c r="CR138" s="2">
        <f t="shared" si="65"/>
        <v>0</v>
      </c>
      <c r="CS138" s="2">
        <f t="shared" si="65"/>
        <v>0</v>
      </c>
      <c r="CT138" s="2">
        <f t="shared" si="65"/>
        <v>0</v>
      </c>
      <c r="CU138" s="2">
        <f t="shared" si="65"/>
        <v>0</v>
      </c>
      <c r="CV138" s="2">
        <f t="shared" si="65"/>
        <v>0</v>
      </c>
      <c r="CW138" s="2">
        <f t="shared" si="65"/>
        <v>0</v>
      </c>
      <c r="CX138" s="2">
        <f t="shared" si="65"/>
        <v>0</v>
      </c>
      <c r="CY138" s="2">
        <f t="shared" si="65"/>
        <v>0</v>
      </c>
      <c r="CZ138" s="2">
        <f t="shared" si="65"/>
        <v>0</v>
      </c>
      <c r="DA138" s="2">
        <f t="shared" si="65"/>
        <v>0</v>
      </c>
      <c r="DB138" s="2">
        <f t="shared" si="65"/>
        <v>0</v>
      </c>
      <c r="DC138" s="2">
        <f t="shared" si="65"/>
        <v>0</v>
      </c>
      <c r="DD138" s="2">
        <f t="shared" si="65"/>
        <v>0</v>
      </c>
      <c r="DE138" s="2">
        <f t="shared" si="65"/>
        <v>0</v>
      </c>
      <c r="DF138" s="2">
        <f t="shared" si="65"/>
        <v>0</v>
      </c>
      <c r="DG138" s="3">
        <f t="shared" ref="DG138:EL138" si="66">DG147</f>
        <v>0</v>
      </c>
      <c r="DH138" s="3">
        <f t="shared" si="66"/>
        <v>0</v>
      </c>
      <c r="DI138" s="3">
        <f t="shared" si="66"/>
        <v>0</v>
      </c>
      <c r="DJ138" s="3">
        <f t="shared" si="66"/>
        <v>0</v>
      </c>
      <c r="DK138" s="3">
        <f t="shared" si="66"/>
        <v>0</v>
      </c>
      <c r="DL138" s="3">
        <f t="shared" si="66"/>
        <v>0</v>
      </c>
      <c r="DM138" s="3">
        <f t="shared" si="66"/>
        <v>0</v>
      </c>
      <c r="DN138" s="3">
        <f t="shared" si="66"/>
        <v>0</v>
      </c>
      <c r="DO138" s="3">
        <f t="shared" si="66"/>
        <v>0</v>
      </c>
      <c r="DP138" s="3">
        <f t="shared" si="66"/>
        <v>0</v>
      </c>
      <c r="DQ138" s="3">
        <f t="shared" si="66"/>
        <v>0</v>
      </c>
      <c r="DR138" s="3">
        <f t="shared" si="66"/>
        <v>0</v>
      </c>
      <c r="DS138" s="3">
        <f t="shared" si="66"/>
        <v>0</v>
      </c>
      <c r="DT138" s="3">
        <f t="shared" si="66"/>
        <v>0</v>
      </c>
      <c r="DU138" s="3">
        <f t="shared" si="66"/>
        <v>0</v>
      </c>
      <c r="DV138" s="3">
        <f t="shared" si="66"/>
        <v>0</v>
      </c>
      <c r="DW138" s="3">
        <f t="shared" si="66"/>
        <v>0</v>
      </c>
      <c r="DX138" s="3">
        <f t="shared" si="66"/>
        <v>0</v>
      </c>
      <c r="DY138" s="3">
        <f t="shared" si="66"/>
        <v>0</v>
      </c>
      <c r="DZ138" s="3">
        <f t="shared" si="66"/>
        <v>0</v>
      </c>
      <c r="EA138" s="3">
        <f t="shared" si="66"/>
        <v>0</v>
      </c>
      <c r="EB138" s="3">
        <f t="shared" si="66"/>
        <v>0</v>
      </c>
      <c r="EC138" s="3">
        <f t="shared" si="66"/>
        <v>0</v>
      </c>
      <c r="ED138" s="3">
        <f t="shared" si="66"/>
        <v>0</v>
      </c>
      <c r="EE138" s="3">
        <f t="shared" si="66"/>
        <v>0</v>
      </c>
      <c r="EF138" s="3">
        <f t="shared" si="66"/>
        <v>0</v>
      </c>
      <c r="EG138" s="3">
        <f t="shared" si="66"/>
        <v>0</v>
      </c>
      <c r="EH138" s="3">
        <f t="shared" si="66"/>
        <v>0</v>
      </c>
      <c r="EI138" s="3">
        <f t="shared" si="66"/>
        <v>0</v>
      </c>
      <c r="EJ138" s="3">
        <f t="shared" si="66"/>
        <v>0</v>
      </c>
      <c r="EK138" s="3">
        <f t="shared" si="66"/>
        <v>0</v>
      </c>
      <c r="EL138" s="3">
        <f t="shared" si="66"/>
        <v>0</v>
      </c>
      <c r="EM138" s="3">
        <f t="shared" ref="EM138:FR138" si="67">EM147</f>
        <v>0</v>
      </c>
      <c r="EN138" s="3">
        <f t="shared" si="67"/>
        <v>0</v>
      </c>
      <c r="EO138" s="3">
        <f t="shared" si="67"/>
        <v>0</v>
      </c>
      <c r="EP138" s="3">
        <f t="shared" si="67"/>
        <v>0</v>
      </c>
      <c r="EQ138" s="3">
        <f t="shared" si="67"/>
        <v>0</v>
      </c>
      <c r="ER138" s="3">
        <f t="shared" si="67"/>
        <v>0</v>
      </c>
      <c r="ES138" s="3">
        <f t="shared" si="67"/>
        <v>0</v>
      </c>
      <c r="ET138" s="3">
        <f t="shared" si="67"/>
        <v>0</v>
      </c>
      <c r="EU138" s="3">
        <f t="shared" si="67"/>
        <v>0</v>
      </c>
      <c r="EV138" s="3">
        <f t="shared" si="67"/>
        <v>0</v>
      </c>
      <c r="EW138" s="3">
        <f t="shared" si="67"/>
        <v>0</v>
      </c>
      <c r="EX138" s="3">
        <f t="shared" si="67"/>
        <v>0</v>
      </c>
      <c r="EY138" s="3">
        <f t="shared" si="67"/>
        <v>0</v>
      </c>
      <c r="EZ138" s="3">
        <f t="shared" si="67"/>
        <v>0</v>
      </c>
      <c r="FA138" s="3">
        <f t="shared" si="67"/>
        <v>0</v>
      </c>
      <c r="FB138" s="3">
        <f t="shared" si="67"/>
        <v>0</v>
      </c>
      <c r="FC138" s="3">
        <f t="shared" si="67"/>
        <v>0</v>
      </c>
      <c r="FD138" s="3">
        <f t="shared" si="67"/>
        <v>0</v>
      </c>
      <c r="FE138" s="3">
        <f t="shared" si="67"/>
        <v>0</v>
      </c>
      <c r="FF138" s="3">
        <f t="shared" si="67"/>
        <v>0</v>
      </c>
      <c r="FG138" s="3">
        <f t="shared" si="67"/>
        <v>0</v>
      </c>
      <c r="FH138" s="3">
        <f t="shared" si="67"/>
        <v>0</v>
      </c>
      <c r="FI138" s="3">
        <f t="shared" si="67"/>
        <v>0</v>
      </c>
      <c r="FJ138" s="3">
        <f t="shared" si="67"/>
        <v>0</v>
      </c>
      <c r="FK138" s="3">
        <f t="shared" si="67"/>
        <v>0</v>
      </c>
      <c r="FL138" s="3">
        <f t="shared" si="67"/>
        <v>0</v>
      </c>
      <c r="FM138" s="3">
        <f t="shared" si="67"/>
        <v>0</v>
      </c>
      <c r="FN138" s="3">
        <f t="shared" si="67"/>
        <v>0</v>
      </c>
      <c r="FO138" s="3">
        <f t="shared" si="67"/>
        <v>0</v>
      </c>
      <c r="FP138" s="3">
        <f t="shared" si="67"/>
        <v>0</v>
      </c>
      <c r="FQ138" s="3">
        <f t="shared" si="67"/>
        <v>0</v>
      </c>
      <c r="FR138" s="3">
        <f t="shared" si="67"/>
        <v>0</v>
      </c>
      <c r="FS138" s="3">
        <f t="shared" ref="FS138:GX138" si="68">FS147</f>
        <v>0</v>
      </c>
      <c r="FT138" s="3">
        <f t="shared" si="68"/>
        <v>0</v>
      </c>
      <c r="FU138" s="3">
        <f t="shared" si="68"/>
        <v>0</v>
      </c>
      <c r="FV138" s="3">
        <f t="shared" si="68"/>
        <v>0</v>
      </c>
      <c r="FW138" s="3">
        <f t="shared" si="68"/>
        <v>0</v>
      </c>
      <c r="FX138" s="3">
        <f t="shared" si="68"/>
        <v>0</v>
      </c>
      <c r="FY138" s="3">
        <f t="shared" si="68"/>
        <v>0</v>
      </c>
      <c r="FZ138" s="3">
        <f t="shared" si="68"/>
        <v>0</v>
      </c>
      <c r="GA138" s="3">
        <f t="shared" si="68"/>
        <v>0</v>
      </c>
      <c r="GB138" s="3">
        <f t="shared" si="68"/>
        <v>0</v>
      </c>
      <c r="GC138" s="3">
        <f t="shared" si="68"/>
        <v>0</v>
      </c>
      <c r="GD138" s="3">
        <f t="shared" si="68"/>
        <v>0</v>
      </c>
      <c r="GE138" s="3">
        <f t="shared" si="68"/>
        <v>0</v>
      </c>
      <c r="GF138" s="3">
        <f t="shared" si="68"/>
        <v>0</v>
      </c>
      <c r="GG138" s="3">
        <f t="shared" si="68"/>
        <v>0</v>
      </c>
      <c r="GH138" s="3">
        <f t="shared" si="68"/>
        <v>0</v>
      </c>
      <c r="GI138" s="3">
        <f t="shared" si="68"/>
        <v>0</v>
      </c>
      <c r="GJ138" s="3">
        <f t="shared" si="68"/>
        <v>0</v>
      </c>
      <c r="GK138" s="3">
        <f t="shared" si="68"/>
        <v>0</v>
      </c>
      <c r="GL138" s="3">
        <f t="shared" si="68"/>
        <v>0</v>
      </c>
      <c r="GM138" s="3">
        <f t="shared" si="68"/>
        <v>0</v>
      </c>
      <c r="GN138" s="3">
        <f t="shared" si="68"/>
        <v>0</v>
      </c>
      <c r="GO138" s="3">
        <f t="shared" si="68"/>
        <v>0</v>
      </c>
      <c r="GP138" s="3">
        <f t="shared" si="68"/>
        <v>0</v>
      </c>
      <c r="GQ138" s="3">
        <f t="shared" si="68"/>
        <v>0</v>
      </c>
      <c r="GR138" s="3">
        <f t="shared" si="68"/>
        <v>0</v>
      </c>
      <c r="GS138" s="3">
        <f t="shared" si="68"/>
        <v>0</v>
      </c>
      <c r="GT138" s="3">
        <f t="shared" si="68"/>
        <v>0</v>
      </c>
      <c r="GU138" s="3">
        <f t="shared" si="68"/>
        <v>0</v>
      </c>
      <c r="GV138" s="3">
        <f t="shared" si="68"/>
        <v>0</v>
      </c>
      <c r="GW138" s="3">
        <f t="shared" si="68"/>
        <v>0</v>
      </c>
      <c r="GX138" s="3">
        <f t="shared" si="68"/>
        <v>0</v>
      </c>
    </row>
    <row r="140" spans="1:245" x14ac:dyDescent="0.2">
      <c r="A140">
        <v>17</v>
      </c>
      <c r="B140">
        <v>1</v>
      </c>
      <c r="C140">
        <f>ROW(SmtRes!A34)</f>
        <v>34</v>
      </c>
      <c r="D140">
        <f>ROW(EtalonRes!A35)</f>
        <v>35</v>
      </c>
      <c r="E140" t="s">
        <v>139</v>
      </c>
      <c r="F140" t="s">
        <v>140</v>
      </c>
      <c r="G140" t="s">
        <v>141</v>
      </c>
      <c r="H140" t="s">
        <v>123</v>
      </c>
      <c r="I140">
        <f>ROUND(1320/100,7)</f>
        <v>13.2</v>
      </c>
      <c r="J140">
        <v>0</v>
      </c>
      <c r="K140">
        <f>ROUND(1320/100,7)</f>
        <v>13.2</v>
      </c>
      <c r="O140">
        <f t="shared" ref="O140:O145" si="69">ROUND(CP140,2)</f>
        <v>88573.38</v>
      </c>
      <c r="P140">
        <f>SUMIF(SmtRes!AQ32:'SmtRes'!AQ34,"=1",SmtRes!DF32:'SmtRes'!DF34)</f>
        <v>0</v>
      </c>
      <c r="Q140">
        <f>SUMIF(SmtRes!AQ32:'SmtRes'!AQ34,"=1",SmtRes!DG32:'SmtRes'!DG34)</f>
        <v>29769.85</v>
      </c>
      <c r="R140">
        <f>SUMIF(SmtRes!AQ32:'SmtRes'!AQ34,"=1",SmtRes!DH32:'SmtRes'!DH34)</f>
        <v>25253.51</v>
      </c>
      <c r="S140">
        <f>SUMIF(SmtRes!AQ32:'SmtRes'!AQ34,"=1",SmtRes!DI32:'SmtRes'!DI34)</f>
        <v>33550.019999999997</v>
      </c>
      <c r="T140">
        <f t="shared" ref="T140:T145" si="70">ROUND(CU140*I140,2)</f>
        <v>0</v>
      </c>
      <c r="U140">
        <f>SUMIF(SmtRes!AQ32:'SmtRes'!AQ34,"=1",SmtRes!CV32:'SmtRes'!CV34)</f>
        <v>69.959999999999994</v>
      </c>
      <c r="V140">
        <f>SUMIF(SmtRes!AQ32:'SmtRes'!AQ34,"=1",SmtRes!CW32:'SmtRes'!CW34)</f>
        <v>51.48</v>
      </c>
      <c r="W140">
        <f t="shared" ref="W140:W145" si="71">ROUND(CX140*I140,2)</f>
        <v>0</v>
      </c>
      <c r="X140">
        <f t="shared" ref="X140:Y145" si="72">ROUND(CY140,2)</f>
        <v>57039.42</v>
      </c>
      <c r="Y140">
        <f t="shared" si="72"/>
        <v>29989.8</v>
      </c>
      <c r="AA140">
        <v>65174513</v>
      </c>
      <c r="AB140">
        <f t="shared" ref="AB140:AB145" si="73">ROUND((AC140+AD140+AF140),6)</f>
        <v>4405.5559999999996</v>
      </c>
      <c r="AC140">
        <f>ROUND((0),6)</f>
        <v>0</v>
      </c>
      <c r="AD140">
        <f>ROUND((((SUM(SmtRes!BR32:'SmtRes'!BR34))-(SUM(SmtRes!BS32:'SmtRes'!BS34)))+AE140),6)</f>
        <v>1863.8879999999999</v>
      </c>
      <c r="AE140">
        <f>ROUND((SUM(SmtRes!BS32:'SmtRes'!BS34)),6)</f>
        <v>1913.145</v>
      </c>
      <c r="AF140">
        <f>ROUND((SUM(SmtRes!BT32:'SmtRes'!BT34)),6)</f>
        <v>2541.6680000000001</v>
      </c>
      <c r="AG140">
        <f t="shared" ref="AG140:AG145" si="74">ROUND((AP140),6)</f>
        <v>0</v>
      </c>
      <c r="AH140">
        <f>(SUM(SmtRes!BU32:'SmtRes'!BU34))</f>
        <v>5.3</v>
      </c>
      <c r="AI140">
        <f>(SUM(SmtRes!BV32:'SmtRes'!BV34))</f>
        <v>3.9</v>
      </c>
      <c r="AJ140">
        <f t="shared" ref="AJ140:AJ145" si="75">(AS140)</f>
        <v>0</v>
      </c>
      <c r="AK140">
        <v>6318.7010000000009</v>
      </c>
      <c r="AL140">
        <v>0</v>
      </c>
      <c r="AM140">
        <v>1863.8879999999999</v>
      </c>
      <c r="AN140">
        <v>1913.145</v>
      </c>
      <c r="AO140">
        <v>2541.6680000000001</v>
      </c>
      <c r="AP140">
        <v>0</v>
      </c>
      <c r="AQ140">
        <v>5.3</v>
      </c>
      <c r="AR140">
        <v>3.9</v>
      </c>
      <c r="AS140">
        <v>0</v>
      </c>
      <c r="AT140">
        <v>97</v>
      </c>
      <c r="AU140">
        <v>51</v>
      </c>
      <c r="AV140">
        <v>1</v>
      </c>
      <c r="AW140">
        <v>1</v>
      </c>
      <c r="AZ140">
        <v>1</v>
      </c>
      <c r="BA140">
        <v>1</v>
      </c>
      <c r="BB140">
        <v>1</v>
      </c>
      <c r="BC140">
        <v>1</v>
      </c>
      <c r="BD140" t="s">
        <v>3</v>
      </c>
      <c r="BE140" t="s">
        <v>3</v>
      </c>
      <c r="BF140" t="s">
        <v>3</v>
      </c>
      <c r="BG140" t="s">
        <v>3</v>
      </c>
      <c r="BH140">
        <v>0</v>
      </c>
      <c r="BI140">
        <v>2</v>
      </c>
      <c r="BJ140" t="s">
        <v>142</v>
      </c>
      <c r="BM140">
        <v>108001</v>
      </c>
      <c r="BN140">
        <v>0</v>
      </c>
      <c r="BO140" t="s">
        <v>3</v>
      </c>
      <c r="BP140">
        <v>0</v>
      </c>
      <c r="BQ140">
        <v>3</v>
      </c>
      <c r="BR140">
        <v>0</v>
      </c>
      <c r="BS140">
        <v>1</v>
      </c>
      <c r="BT140">
        <v>1</v>
      </c>
      <c r="BU140">
        <v>1</v>
      </c>
      <c r="BV140">
        <v>1</v>
      </c>
      <c r="BW140">
        <v>1</v>
      </c>
      <c r="BX140">
        <v>1</v>
      </c>
      <c r="BY140" t="s">
        <v>3</v>
      </c>
      <c r="BZ140">
        <v>97</v>
      </c>
      <c r="CA140">
        <v>51</v>
      </c>
      <c r="CB140" t="s">
        <v>3</v>
      </c>
      <c r="CE140">
        <v>0</v>
      </c>
      <c r="CF140">
        <v>0</v>
      </c>
      <c r="CG140">
        <v>0</v>
      </c>
      <c r="CM140">
        <v>0</v>
      </c>
      <c r="CN140" t="s">
        <v>3</v>
      </c>
      <c r="CO140">
        <v>0</v>
      </c>
      <c r="CP140">
        <f t="shared" ref="CP140:CP145" si="76">(P140+Q140+S140+R140)</f>
        <v>88573.37999999999</v>
      </c>
      <c r="CQ140">
        <f>SUMIF(SmtRes!AQ32:'SmtRes'!AQ34,"=1",SmtRes!AA32:'SmtRes'!AA34)</f>
        <v>0</v>
      </c>
      <c r="CR140">
        <f>SUMIF(SmtRes!AQ32:'SmtRes'!AQ34,"=1",SmtRes!AB32:'SmtRes'!AB34)</f>
        <v>578.28</v>
      </c>
      <c r="CS140">
        <f>SUMIF(SmtRes!AQ32:'SmtRes'!AQ34,"=1",SmtRes!AC32:'SmtRes'!AC34)</f>
        <v>490.55</v>
      </c>
      <c r="CT140">
        <f>SUMIF(SmtRes!AQ32:'SmtRes'!AQ34,"=1",SmtRes!AD32:'SmtRes'!AD34)</f>
        <v>479.56</v>
      </c>
      <c r="CU140">
        <f t="shared" ref="CU140:CU145" si="77">AG140</f>
        <v>0</v>
      </c>
      <c r="CV140">
        <f>SUMIF(SmtRes!AQ32:'SmtRes'!AQ34,"=1",SmtRes!BU32:'SmtRes'!BU34)</f>
        <v>5.3</v>
      </c>
      <c r="CW140">
        <f>SUMIF(SmtRes!AQ32:'SmtRes'!AQ34,"=1",SmtRes!BV32:'SmtRes'!BV34)</f>
        <v>3.9</v>
      </c>
      <c r="CX140">
        <f t="shared" ref="CX140:CX145" si="78">AJ140</f>
        <v>0</v>
      </c>
      <c r="CY140">
        <f t="shared" ref="CY140:CY145" si="79">(((S140+R140)*AT140)/100)</f>
        <v>57039.424100000004</v>
      </c>
      <c r="CZ140">
        <f t="shared" ref="CZ140:CZ145" si="80">(((S140+R140)*AU140)/100)</f>
        <v>29989.800299999999</v>
      </c>
      <c r="DC140" t="s">
        <v>3</v>
      </c>
      <c r="DD140" t="s">
        <v>3</v>
      </c>
      <c r="DE140" t="s">
        <v>3</v>
      </c>
      <c r="DF140" t="s">
        <v>3</v>
      </c>
      <c r="DG140" t="s">
        <v>3</v>
      </c>
      <c r="DH140" t="s">
        <v>3</v>
      </c>
      <c r="DI140" t="s">
        <v>3</v>
      </c>
      <c r="DJ140" t="s">
        <v>3</v>
      </c>
      <c r="DK140" t="s">
        <v>3</v>
      </c>
      <c r="DL140" t="s">
        <v>3</v>
      </c>
      <c r="DM140" t="s">
        <v>3</v>
      </c>
      <c r="DN140">
        <v>0</v>
      </c>
      <c r="DO140">
        <v>0</v>
      </c>
      <c r="DP140">
        <v>1</v>
      </c>
      <c r="DQ140">
        <v>1</v>
      </c>
      <c r="DU140">
        <v>1003</v>
      </c>
      <c r="DV140" t="s">
        <v>123</v>
      </c>
      <c r="DW140" t="s">
        <v>123</v>
      </c>
      <c r="DX140">
        <v>100</v>
      </c>
      <c r="DZ140" t="s">
        <v>3</v>
      </c>
      <c r="EA140" t="s">
        <v>3</v>
      </c>
      <c r="EB140" t="s">
        <v>3</v>
      </c>
      <c r="EC140" t="s">
        <v>3</v>
      </c>
      <c r="EE140">
        <v>64850885</v>
      </c>
      <c r="EF140">
        <v>3</v>
      </c>
      <c r="EG140" t="s">
        <v>128</v>
      </c>
      <c r="EH140">
        <v>0</v>
      </c>
      <c r="EI140" t="s">
        <v>3</v>
      </c>
      <c r="EJ140">
        <v>2</v>
      </c>
      <c r="EK140">
        <v>108001</v>
      </c>
      <c r="EL140" t="s">
        <v>129</v>
      </c>
      <c r="EM140" t="s">
        <v>130</v>
      </c>
      <c r="EO140" t="s">
        <v>3</v>
      </c>
      <c r="EQ140">
        <v>0</v>
      </c>
      <c r="ER140">
        <v>0</v>
      </c>
      <c r="ES140">
        <v>0</v>
      </c>
      <c r="ET140">
        <v>0</v>
      </c>
      <c r="EU140">
        <v>0</v>
      </c>
      <c r="EV140">
        <v>0</v>
      </c>
      <c r="EW140">
        <v>5.3</v>
      </c>
      <c r="EX140">
        <v>3.9</v>
      </c>
      <c r="EY140">
        <v>0</v>
      </c>
      <c r="FQ140">
        <v>0</v>
      </c>
      <c r="FR140">
        <f t="shared" ref="FR140:FR145" si="81">ROUND(IF(BI140=3,GM140,0),2)</f>
        <v>0</v>
      </c>
      <c r="FS140">
        <v>0</v>
      </c>
      <c r="FX140">
        <v>97</v>
      </c>
      <c r="FY140">
        <v>51</v>
      </c>
      <c r="GA140" t="s">
        <v>3</v>
      </c>
      <c r="GD140">
        <v>1</v>
      </c>
      <c r="GF140">
        <v>1753840565</v>
      </c>
      <c r="GG140">
        <v>2</v>
      </c>
      <c r="GH140">
        <v>1</v>
      </c>
      <c r="GI140">
        <v>-2</v>
      </c>
      <c r="GJ140">
        <v>0</v>
      </c>
      <c r="GK140">
        <v>0</v>
      </c>
      <c r="GL140">
        <f t="shared" ref="GL140:GL145" si="82">ROUND(IF(AND(BH140=3,BI140=3,FS140&lt;&gt;0),P140,0),2)</f>
        <v>0</v>
      </c>
      <c r="GM140">
        <f t="shared" ref="GM140:GM145" si="83">ROUND(O140+X140+Y140,2)+GX140</f>
        <v>175602.6</v>
      </c>
      <c r="GN140">
        <f t="shared" ref="GN140:GN145" si="84">IF(OR(BI140=0,BI140=1),GM140-GX140,0)</f>
        <v>0</v>
      </c>
      <c r="GO140">
        <f t="shared" ref="GO140:GO145" si="85">IF(BI140=2,GM140-GX140,0)</f>
        <v>175602.6</v>
      </c>
      <c r="GP140">
        <f t="shared" ref="GP140:GP145" si="86">IF(BI140=4,GM140-GX140,0)</f>
        <v>0</v>
      </c>
      <c r="GR140">
        <v>0</v>
      </c>
      <c r="GS140">
        <v>0</v>
      </c>
      <c r="GT140">
        <v>0</v>
      </c>
      <c r="GU140" t="s">
        <v>3</v>
      </c>
      <c r="GV140">
        <f t="shared" ref="GV140:GV145" si="87">ROUND((GT140),6)</f>
        <v>0</v>
      </c>
      <c r="GW140">
        <v>1</v>
      </c>
      <c r="GX140">
        <f t="shared" ref="GX140:GX145" si="88">ROUND(HC140*I140,2)</f>
        <v>0</v>
      </c>
      <c r="HA140">
        <v>0</v>
      </c>
      <c r="HB140">
        <v>0</v>
      </c>
      <c r="HC140">
        <f t="shared" ref="HC140:HC145" si="89">GV140*GW140</f>
        <v>0</v>
      </c>
      <c r="HE140" t="s">
        <v>3</v>
      </c>
      <c r="HF140" t="s">
        <v>3</v>
      </c>
      <c r="HM140" t="s">
        <v>3</v>
      </c>
      <c r="HN140" t="s">
        <v>132</v>
      </c>
      <c r="HO140" t="s">
        <v>133</v>
      </c>
      <c r="HP140" t="s">
        <v>129</v>
      </c>
      <c r="HQ140" t="s">
        <v>129</v>
      </c>
      <c r="IK140">
        <v>0</v>
      </c>
    </row>
    <row r="141" spans="1:245" x14ac:dyDescent="0.2">
      <c r="A141">
        <v>17</v>
      </c>
      <c r="B141">
        <v>1</v>
      </c>
      <c r="C141">
        <f>ROW(SmtRes!A38)</f>
        <v>38</v>
      </c>
      <c r="D141">
        <f>ROW(EtalonRes!A39)</f>
        <v>39</v>
      </c>
      <c r="E141" t="s">
        <v>143</v>
      </c>
      <c r="F141" t="s">
        <v>144</v>
      </c>
      <c r="G141" t="s">
        <v>145</v>
      </c>
      <c r="H141" t="s">
        <v>123</v>
      </c>
      <c r="I141">
        <f>ROUND(1320/100,7)</f>
        <v>13.2</v>
      </c>
      <c r="J141">
        <v>0</v>
      </c>
      <c r="K141">
        <f>ROUND(1320/100,7)</f>
        <v>13.2</v>
      </c>
      <c r="O141">
        <f t="shared" si="69"/>
        <v>13725.76</v>
      </c>
      <c r="P141">
        <f>SUMIF(SmtRes!AQ35:'SmtRes'!AQ38,"=1",SmtRes!DF35:'SmtRes'!DF38)</f>
        <v>0</v>
      </c>
      <c r="Q141">
        <f>SUMIF(SmtRes!AQ35:'SmtRes'!AQ38,"=1",SmtRes!DG35:'SmtRes'!DG38)</f>
        <v>610.66</v>
      </c>
      <c r="R141">
        <f>SUMIF(SmtRes!AQ35:'SmtRes'!AQ38,"=1",SmtRes!DH35:'SmtRes'!DH38)</f>
        <v>518.02</v>
      </c>
      <c r="S141">
        <f>SUMIF(SmtRes!AQ35:'SmtRes'!AQ38,"=1",SmtRes!DI35:'SmtRes'!DI38)</f>
        <v>12597.08</v>
      </c>
      <c r="T141">
        <f t="shared" si="70"/>
        <v>0</v>
      </c>
      <c r="U141">
        <f>SUMIF(SmtRes!AQ35:'SmtRes'!AQ38,"=1",SmtRes!CV35:'SmtRes'!CV38)</f>
        <v>26.268000000000001</v>
      </c>
      <c r="V141">
        <f>SUMIF(SmtRes!AQ35:'SmtRes'!AQ38,"=1",SmtRes!CW35:'SmtRes'!CW38)</f>
        <v>1.056</v>
      </c>
      <c r="W141">
        <f t="shared" si="71"/>
        <v>0</v>
      </c>
      <c r="X141">
        <f t="shared" si="72"/>
        <v>12721.65</v>
      </c>
      <c r="Y141">
        <f t="shared" si="72"/>
        <v>6688.7</v>
      </c>
      <c r="AA141">
        <v>65174513</v>
      </c>
      <c r="AB141">
        <f t="shared" si="73"/>
        <v>992.55799999999999</v>
      </c>
      <c r="AC141">
        <f>ROUND((0),6)</f>
        <v>0</v>
      </c>
      <c r="AD141">
        <f>ROUND((((SUM(SmtRes!BR35:'SmtRes'!BR38))-(SUM(SmtRes!BS35:'SmtRes'!BS38)))+AE141),6)</f>
        <v>38.233600000000003</v>
      </c>
      <c r="AE141">
        <f>ROUND((SUM(SmtRes!BS35:'SmtRes'!BS38)),6)</f>
        <v>39.244</v>
      </c>
      <c r="AF141">
        <f>ROUND((SUM(SmtRes!BT35:'SmtRes'!BT38)),6)</f>
        <v>954.32439999999997</v>
      </c>
      <c r="AG141">
        <f t="shared" si="74"/>
        <v>0</v>
      </c>
      <c r="AH141">
        <f>(SUM(SmtRes!BU35:'SmtRes'!BU38))</f>
        <v>1.99</v>
      </c>
      <c r="AI141">
        <f>(SUM(SmtRes!BV35:'SmtRes'!BV38))</f>
        <v>0.08</v>
      </c>
      <c r="AJ141">
        <f t="shared" si="75"/>
        <v>0</v>
      </c>
      <c r="AK141">
        <v>1031.8019999999999</v>
      </c>
      <c r="AL141">
        <v>0</v>
      </c>
      <c r="AM141">
        <v>38.233600000000003</v>
      </c>
      <c r="AN141">
        <v>39.244</v>
      </c>
      <c r="AO141">
        <v>954.32439999999997</v>
      </c>
      <c r="AP141">
        <v>0</v>
      </c>
      <c r="AQ141">
        <v>1.99</v>
      </c>
      <c r="AR141">
        <v>0.08</v>
      </c>
      <c r="AS141">
        <v>0</v>
      </c>
      <c r="AT141">
        <v>97</v>
      </c>
      <c r="AU141">
        <v>51</v>
      </c>
      <c r="AV141">
        <v>1</v>
      </c>
      <c r="AW141">
        <v>1</v>
      </c>
      <c r="AZ141">
        <v>1</v>
      </c>
      <c r="BA141">
        <v>1</v>
      </c>
      <c r="BB141">
        <v>1</v>
      </c>
      <c r="BC141">
        <v>1</v>
      </c>
      <c r="BD141" t="s">
        <v>3</v>
      </c>
      <c r="BE141" t="s">
        <v>3</v>
      </c>
      <c r="BF141" t="s">
        <v>3</v>
      </c>
      <c r="BG141" t="s">
        <v>3</v>
      </c>
      <c r="BH141">
        <v>0</v>
      </c>
      <c r="BI141">
        <v>2</v>
      </c>
      <c r="BJ141" t="s">
        <v>146</v>
      </c>
      <c r="BM141">
        <v>108001</v>
      </c>
      <c r="BN141">
        <v>0</v>
      </c>
      <c r="BO141" t="s">
        <v>3</v>
      </c>
      <c r="BP141">
        <v>0</v>
      </c>
      <c r="BQ141">
        <v>3</v>
      </c>
      <c r="BR141">
        <v>0</v>
      </c>
      <c r="BS141">
        <v>1</v>
      </c>
      <c r="BT141">
        <v>1</v>
      </c>
      <c r="BU141">
        <v>1</v>
      </c>
      <c r="BV141">
        <v>1</v>
      </c>
      <c r="BW141">
        <v>1</v>
      </c>
      <c r="BX141">
        <v>1</v>
      </c>
      <c r="BY141" t="s">
        <v>3</v>
      </c>
      <c r="BZ141">
        <v>97</v>
      </c>
      <c r="CA141">
        <v>51</v>
      </c>
      <c r="CB141" t="s">
        <v>3</v>
      </c>
      <c r="CE141">
        <v>0</v>
      </c>
      <c r="CF141">
        <v>0</v>
      </c>
      <c r="CG141">
        <v>0</v>
      </c>
      <c r="CM141">
        <v>0</v>
      </c>
      <c r="CN141" t="s">
        <v>3</v>
      </c>
      <c r="CO141">
        <v>0</v>
      </c>
      <c r="CP141">
        <f t="shared" si="76"/>
        <v>13725.76</v>
      </c>
      <c r="CQ141">
        <f>SUMIF(SmtRes!AQ35:'SmtRes'!AQ38,"=1",SmtRes!AA35:'SmtRes'!AA38)</f>
        <v>0</v>
      </c>
      <c r="CR141">
        <f>SUMIF(SmtRes!AQ35:'SmtRes'!AQ38,"=1",SmtRes!AB35:'SmtRes'!AB38)</f>
        <v>578.28</v>
      </c>
      <c r="CS141">
        <f>SUMIF(SmtRes!AQ35:'SmtRes'!AQ38,"=1",SmtRes!AC35:'SmtRes'!AC38)</f>
        <v>490.55</v>
      </c>
      <c r="CT141">
        <f>SUMIF(SmtRes!AQ35:'SmtRes'!AQ38,"=1",SmtRes!AD35:'SmtRes'!AD38)</f>
        <v>479.56</v>
      </c>
      <c r="CU141">
        <f t="shared" si="77"/>
        <v>0</v>
      </c>
      <c r="CV141">
        <f>SUMIF(SmtRes!AQ35:'SmtRes'!AQ38,"=1",SmtRes!BU35:'SmtRes'!BU38)</f>
        <v>1.99</v>
      </c>
      <c r="CW141">
        <f>SUMIF(SmtRes!AQ35:'SmtRes'!AQ38,"=1",SmtRes!BV35:'SmtRes'!BV38)</f>
        <v>0.08</v>
      </c>
      <c r="CX141">
        <f t="shared" si="78"/>
        <v>0</v>
      </c>
      <c r="CY141">
        <f t="shared" si="79"/>
        <v>12721.646999999999</v>
      </c>
      <c r="CZ141">
        <f t="shared" si="80"/>
        <v>6688.701</v>
      </c>
      <c r="DC141" t="s">
        <v>3</v>
      </c>
      <c r="DD141" t="s">
        <v>3</v>
      </c>
      <c r="DE141" t="s">
        <v>3</v>
      </c>
      <c r="DF141" t="s">
        <v>3</v>
      </c>
      <c r="DG141" t="s">
        <v>3</v>
      </c>
      <c r="DH141" t="s">
        <v>3</v>
      </c>
      <c r="DI141" t="s">
        <v>3</v>
      </c>
      <c r="DJ141" t="s">
        <v>3</v>
      </c>
      <c r="DK141" t="s">
        <v>3</v>
      </c>
      <c r="DL141" t="s">
        <v>3</v>
      </c>
      <c r="DM141" t="s">
        <v>3</v>
      </c>
      <c r="DN141">
        <v>0</v>
      </c>
      <c r="DO141">
        <v>0</v>
      </c>
      <c r="DP141">
        <v>1</v>
      </c>
      <c r="DQ141">
        <v>1</v>
      </c>
      <c r="DU141">
        <v>1003</v>
      </c>
      <c r="DV141" t="s">
        <v>123</v>
      </c>
      <c r="DW141" t="s">
        <v>123</v>
      </c>
      <c r="DX141">
        <v>100</v>
      </c>
      <c r="DZ141" t="s">
        <v>3</v>
      </c>
      <c r="EA141" t="s">
        <v>3</v>
      </c>
      <c r="EB141" t="s">
        <v>3</v>
      </c>
      <c r="EC141" t="s">
        <v>3</v>
      </c>
      <c r="EE141">
        <v>64850885</v>
      </c>
      <c r="EF141">
        <v>3</v>
      </c>
      <c r="EG141" t="s">
        <v>128</v>
      </c>
      <c r="EH141">
        <v>0</v>
      </c>
      <c r="EI141" t="s">
        <v>3</v>
      </c>
      <c r="EJ141">
        <v>2</v>
      </c>
      <c r="EK141">
        <v>108001</v>
      </c>
      <c r="EL141" t="s">
        <v>129</v>
      </c>
      <c r="EM141" t="s">
        <v>130</v>
      </c>
      <c r="EO141" t="s">
        <v>3</v>
      </c>
      <c r="EQ141">
        <v>0</v>
      </c>
      <c r="ER141">
        <v>0</v>
      </c>
      <c r="ES141">
        <v>0</v>
      </c>
      <c r="ET141">
        <v>0</v>
      </c>
      <c r="EU141">
        <v>0</v>
      </c>
      <c r="EV141">
        <v>0</v>
      </c>
      <c r="EW141">
        <v>1.99</v>
      </c>
      <c r="EX141">
        <v>0.08</v>
      </c>
      <c r="EY141">
        <v>0</v>
      </c>
      <c r="FQ141">
        <v>0</v>
      </c>
      <c r="FR141">
        <f t="shared" si="81"/>
        <v>0</v>
      </c>
      <c r="FS141">
        <v>0</v>
      </c>
      <c r="FX141">
        <v>97</v>
      </c>
      <c r="FY141">
        <v>51</v>
      </c>
      <c r="GA141" t="s">
        <v>3</v>
      </c>
      <c r="GD141">
        <v>1</v>
      </c>
      <c r="GF141">
        <v>2022863419</v>
      </c>
      <c r="GG141">
        <v>2</v>
      </c>
      <c r="GH141">
        <v>1</v>
      </c>
      <c r="GI141">
        <v>-2</v>
      </c>
      <c r="GJ141">
        <v>0</v>
      </c>
      <c r="GK141">
        <v>0</v>
      </c>
      <c r="GL141">
        <f t="shared" si="82"/>
        <v>0</v>
      </c>
      <c r="GM141">
        <f t="shared" si="83"/>
        <v>33136.11</v>
      </c>
      <c r="GN141">
        <f t="shared" si="84"/>
        <v>0</v>
      </c>
      <c r="GO141">
        <f t="shared" si="85"/>
        <v>33136.11</v>
      </c>
      <c r="GP141">
        <f t="shared" si="86"/>
        <v>0</v>
      </c>
      <c r="GR141">
        <v>0</v>
      </c>
      <c r="GS141">
        <v>3</v>
      </c>
      <c r="GT141">
        <v>0</v>
      </c>
      <c r="GU141" t="s">
        <v>3</v>
      </c>
      <c r="GV141">
        <f t="shared" si="87"/>
        <v>0</v>
      </c>
      <c r="GW141">
        <v>1</v>
      </c>
      <c r="GX141">
        <f t="shared" si="88"/>
        <v>0</v>
      </c>
      <c r="HA141">
        <v>0</v>
      </c>
      <c r="HB141">
        <v>0</v>
      </c>
      <c r="HC141">
        <f t="shared" si="89"/>
        <v>0</v>
      </c>
      <c r="HE141" t="s">
        <v>3</v>
      </c>
      <c r="HF141" t="s">
        <v>3</v>
      </c>
      <c r="HM141" t="s">
        <v>3</v>
      </c>
      <c r="HN141" t="s">
        <v>132</v>
      </c>
      <c r="HO141" t="s">
        <v>133</v>
      </c>
      <c r="HP141" t="s">
        <v>129</v>
      </c>
      <c r="HQ141" t="s">
        <v>129</v>
      </c>
      <c r="IK141">
        <v>0</v>
      </c>
    </row>
    <row r="142" spans="1:245" x14ac:dyDescent="0.2">
      <c r="A142">
        <v>17</v>
      </c>
      <c r="B142">
        <v>1</v>
      </c>
      <c r="C142">
        <f>ROW(SmtRes!A50)</f>
        <v>50</v>
      </c>
      <c r="D142">
        <f>ROW(EtalonRes!A51)</f>
        <v>51</v>
      </c>
      <c r="E142" t="s">
        <v>147</v>
      </c>
      <c r="F142" t="s">
        <v>121</v>
      </c>
      <c r="G142" t="s">
        <v>122</v>
      </c>
      <c r="H142" t="s">
        <v>123</v>
      </c>
      <c r="I142">
        <f>ROUND(2640/100,7)</f>
        <v>26.4</v>
      </c>
      <c r="J142">
        <v>0</v>
      </c>
      <c r="K142">
        <f>ROUND(2640/100,7)</f>
        <v>26.4</v>
      </c>
      <c r="O142">
        <f t="shared" si="69"/>
        <v>354474.72</v>
      </c>
      <c r="P142">
        <f>SUMIF(SmtRes!AQ39:'SmtRes'!AQ50,"=1",SmtRes!DF39:'SmtRes'!DF50)</f>
        <v>17230.32</v>
      </c>
      <c r="Q142">
        <f>SUMIF(SmtRes!AQ39:'SmtRes'!AQ50,"=1",SmtRes!DG39:'SmtRes'!DG50)</f>
        <v>76389.87</v>
      </c>
      <c r="R142">
        <f>SUMIF(SmtRes!AQ39:'SmtRes'!AQ50,"=1",SmtRes!DH39:'SmtRes'!DH50)</f>
        <v>40057.43</v>
      </c>
      <c r="S142">
        <f>SUMIF(SmtRes!AQ39:'SmtRes'!AQ50,"=1",SmtRes!DI39:'SmtRes'!DI50)</f>
        <v>220797.1</v>
      </c>
      <c r="T142">
        <f t="shared" si="70"/>
        <v>0</v>
      </c>
      <c r="U142">
        <f>SUMIF(SmtRes!AQ39:'SmtRes'!AQ50,"=1",SmtRes!CV39:'SmtRes'!CV50)</f>
        <v>460.416</v>
      </c>
      <c r="V142">
        <f>SUMIF(SmtRes!AQ39:'SmtRes'!AQ50,"=1",SmtRes!CW39:'SmtRes'!CW50)</f>
        <v>69.695999999999998</v>
      </c>
      <c r="W142">
        <f t="shared" si="71"/>
        <v>0</v>
      </c>
      <c r="X142">
        <f t="shared" si="72"/>
        <v>253028.89</v>
      </c>
      <c r="Y142">
        <f t="shared" si="72"/>
        <v>133035.81</v>
      </c>
      <c r="AA142">
        <v>65174513</v>
      </c>
      <c r="AB142">
        <f t="shared" si="73"/>
        <v>11754.156498</v>
      </c>
      <c r="AC142">
        <f>ROUND((SUM(SmtRes!BQ39:'SmtRes'!BQ50)),6)</f>
        <v>651.90059799999995</v>
      </c>
      <c r="AD142">
        <f>ROUND((((SUM(SmtRes!BR39:'SmtRes'!BR50))-(SUM(SmtRes!BS39:'SmtRes'!BS50)))+AE142),6)</f>
        <v>2738.7294999999999</v>
      </c>
      <c r="AE142">
        <f>ROUND((SUM(SmtRes!BS39:'SmtRes'!BS50)),6)</f>
        <v>1517.3268</v>
      </c>
      <c r="AF142">
        <f>ROUND((SUM(SmtRes!BT39:'SmtRes'!BT50)),6)</f>
        <v>8363.5264000000006</v>
      </c>
      <c r="AG142">
        <f t="shared" si="74"/>
        <v>0</v>
      </c>
      <c r="AH142">
        <f>(SUM(SmtRes!BU39:'SmtRes'!BU50))</f>
        <v>17.440000000000001</v>
      </c>
      <c r="AI142">
        <f>(SUM(SmtRes!BV39:'SmtRes'!BV50))</f>
        <v>2.64</v>
      </c>
      <c r="AJ142">
        <f t="shared" si="75"/>
        <v>0</v>
      </c>
      <c r="AK142">
        <v>13271.483298400002</v>
      </c>
      <c r="AL142">
        <v>651.90059840000004</v>
      </c>
      <c r="AM142">
        <v>2738.7295000000004</v>
      </c>
      <c r="AN142">
        <v>1517.3268000000003</v>
      </c>
      <c r="AO142">
        <v>8363.5264000000006</v>
      </c>
      <c r="AP142">
        <v>0</v>
      </c>
      <c r="AQ142">
        <v>17.440000000000001</v>
      </c>
      <c r="AR142">
        <v>2.64</v>
      </c>
      <c r="AS142">
        <v>0</v>
      </c>
      <c r="AT142">
        <v>97</v>
      </c>
      <c r="AU142">
        <v>51</v>
      </c>
      <c r="AV142">
        <v>1</v>
      </c>
      <c r="AW142">
        <v>1</v>
      </c>
      <c r="AZ142">
        <v>1</v>
      </c>
      <c r="BA142">
        <v>1</v>
      </c>
      <c r="BB142">
        <v>1</v>
      </c>
      <c r="BC142">
        <v>1</v>
      </c>
      <c r="BD142" t="s">
        <v>3</v>
      </c>
      <c r="BE142" t="s">
        <v>3</v>
      </c>
      <c r="BF142" t="s">
        <v>3</v>
      </c>
      <c r="BG142" t="s">
        <v>3</v>
      </c>
      <c r="BH142">
        <v>0</v>
      </c>
      <c r="BI142">
        <v>2</v>
      </c>
      <c r="BJ142" t="s">
        <v>124</v>
      </c>
      <c r="BM142">
        <v>108001</v>
      </c>
      <c r="BN142">
        <v>0</v>
      </c>
      <c r="BO142" t="s">
        <v>3</v>
      </c>
      <c r="BP142">
        <v>0</v>
      </c>
      <c r="BQ142">
        <v>3</v>
      </c>
      <c r="BR142">
        <v>0</v>
      </c>
      <c r="BS142">
        <v>1</v>
      </c>
      <c r="BT142">
        <v>1</v>
      </c>
      <c r="BU142">
        <v>1</v>
      </c>
      <c r="BV142">
        <v>1</v>
      </c>
      <c r="BW142">
        <v>1</v>
      </c>
      <c r="BX142">
        <v>1</v>
      </c>
      <c r="BY142" t="s">
        <v>3</v>
      </c>
      <c r="BZ142">
        <v>97</v>
      </c>
      <c r="CA142">
        <v>51</v>
      </c>
      <c r="CB142" t="s">
        <v>3</v>
      </c>
      <c r="CE142">
        <v>0</v>
      </c>
      <c r="CF142">
        <v>0</v>
      </c>
      <c r="CG142">
        <v>0</v>
      </c>
      <c r="CM142">
        <v>0</v>
      </c>
      <c r="CN142" t="s">
        <v>3</v>
      </c>
      <c r="CO142">
        <v>0</v>
      </c>
      <c r="CP142">
        <f t="shared" si="76"/>
        <v>354474.72000000003</v>
      </c>
      <c r="CQ142">
        <f>SUMIF(SmtRes!AQ39:'SmtRes'!AQ50,"=1",SmtRes!AA39:'SmtRes'!AA50)</f>
        <v>218231.08</v>
      </c>
      <c r="CR142">
        <f>SUMIF(SmtRes!AQ39:'SmtRes'!AQ50,"=1",SmtRes!AB39:'SmtRes'!AB50)</f>
        <v>2150.29</v>
      </c>
      <c r="CS142">
        <f>SUMIF(SmtRes!AQ39:'SmtRes'!AQ50,"=1",SmtRes!AC39:'SmtRes'!AC50)</f>
        <v>1149.49</v>
      </c>
      <c r="CT142">
        <f>SUMIF(SmtRes!AQ39:'SmtRes'!AQ50,"=1",SmtRes!AD39:'SmtRes'!AD50)</f>
        <v>479.56</v>
      </c>
      <c r="CU142">
        <f t="shared" si="77"/>
        <v>0</v>
      </c>
      <c r="CV142">
        <f>SUMIF(SmtRes!AQ39:'SmtRes'!AQ50,"=1",SmtRes!BU39:'SmtRes'!BU50)</f>
        <v>17.440000000000001</v>
      </c>
      <c r="CW142">
        <f>SUMIF(SmtRes!AQ39:'SmtRes'!AQ50,"=1",SmtRes!BV39:'SmtRes'!BV50)</f>
        <v>2.64</v>
      </c>
      <c r="CX142">
        <f t="shared" si="78"/>
        <v>0</v>
      </c>
      <c r="CY142">
        <f t="shared" si="79"/>
        <v>253028.8941</v>
      </c>
      <c r="CZ142">
        <f t="shared" si="80"/>
        <v>133035.81029999998</v>
      </c>
      <c r="DC142" t="s">
        <v>3</v>
      </c>
      <c r="DD142" t="s">
        <v>3</v>
      </c>
      <c r="DE142" t="s">
        <v>3</v>
      </c>
      <c r="DF142" t="s">
        <v>3</v>
      </c>
      <c r="DG142" t="s">
        <v>3</v>
      </c>
      <c r="DH142" t="s">
        <v>3</v>
      </c>
      <c r="DI142" t="s">
        <v>3</v>
      </c>
      <c r="DJ142" t="s">
        <v>3</v>
      </c>
      <c r="DK142" t="s">
        <v>3</v>
      </c>
      <c r="DL142" t="s">
        <v>3</v>
      </c>
      <c r="DM142" t="s">
        <v>3</v>
      </c>
      <c r="DN142">
        <v>0</v>
      </c>
      <c r="DO142">
        <v>0</v>
      </c>
      <c r="DP142">
        <v>1</v>
      </c>
      <c r="DQ142">
        <v>1</v>
      </c>
      <c r="DU142">
        <v>1003</v>
      </c>
      <c r="DV142" t="s">
        <v>123</v>
      </c>
      <c r="DW142" t="s">
        <v>123</v>
      </c>
      <c r="DX142">
        <v>100</v>
      </c>
      <c r="DZ142" t="s">
        <v>3</v>
      </c>
      <c r="EA142" t="s">
        <v>3</v>
      </c>
      <c r="EB142" t="s">
        <v>3</v>
      </c>
      <c r="EC142" t="s">
        <v>3</v>
      </c>
      <c r="EE142">
        <v>64850885</v>
      </c>
      <c r="EF142">
        <v>3</v>
      </c>
      <c r="EG142" t="s">
        <v>128</v>
      </c>
      <c r="EH142">
        <v>0</v>
      </c>
      <c r="EI142" t="s">
        <v>3</v>
      </c>
      <c r="EJ142">
        <v>2</v>
      </c>
      <c r="EK142">
        <v>108001</v>
      </c>
      <c r="EL142" t="s">
        <v>129</v>
      </c>
      <c r="EM142" t="s">
        <v>130</v>
      </c>
      <c r="EO142" t="s">
        <v>3</v>
      </c>
      <c r="EQ142">
        <v>0</v>
      </c>
      <c r="ER142">
        <v>0</v>
      </c>
      <c r="ES142">
        <v>0</v>
      </c>
      <c r="ET142">
        <v>0</v>
      </c>
      <c r="EU142">
        <v>0</v>
      </c>
      <c r="EV142">
        <v>0</v>
      </c>
      <c r="EW142">
        <v>17.440000000000001</v>
      </c>
      <c r="EX142">
        <v>2.64</v>
      </c>
      <c r="EY142">
        <v>0</v>
      </c>
      <c r="FQ142">
        <v>0</v>
      </c>
      <c r="FR142">
        <f t="shared" si="81"/>
        <v>0</v>
      </c>
      <c r="FS142">
        <v>0</v>
      </c>
      <c r="FX142">
        <v>97</v>
      </c>
      <c r="FY142">
        <v>51</v>
      </c>
      <c r="GA142" t="s">
        <v>3</v>
      </c>
      <c r="GD142">
        <v>1</v>
      </c>
      <c r="GF142">
        <v>1941302536</v>
      </c>
      <c r="GG142">
        <v>2</v>
      </c>
      <c r="GH142">
        <v>1</v>
      </c>
      <c r="GI142">
        <v>-2</v>
      </c>
      <c r="GJ142">
        <v>0</v>
      </c>
      <c r="GK142">
        <v>0</v>
      </c>
      <c r="GL142">
        <f t="shared" si="82"/>
        <v>0</v>
      </c>
      <c r="GM142">
        <f t="shared" si="83"/>
        <v>740539.42</v>
      </c>
      <c r="GN142">
        <f t="shared" si="84"/>
        <v>0</v>
      </c>
      <c r="GO142">
        <f t="shared" si="85"/>
        <v>740539.42</v>
      </c>
      <c r="GP142">
        <f t="shared" si="86"/>
        <v>0</v>
      </c>
      <c r="GR142">
        <v>0</v>
      </c>
      <c r="GS142">
        <v>0</v>
      </c>
      <c r="GT142">
        <v>0</v>
      </c>
      <c r="GU142" t="s">
        <v>3</v>
      </c>
      <c r="GV142">
        <f t="shared" si="87"/>
        <v>0</v>
      </c>
      <c r="GW142">
        <v>1</v>
      </c>
      <c r="GX142">
        <f t="shared" si="88"/>
        <v>0</v>
      </c>
      <c r="HA142">
        <v>0</v>
      </c>
      <c r="HB142">
        <v>0</v>
      </c>
      <c r="HC142">
        <f t="shared" si="89"/>
        <v>0</v>
      </c>
      <c r="HE142" t="s">
        <v>3</v>
      </c>
      <c r="HF142" t="s">
        <v>3</v>
      </c>
      <c r="HM142" t="s">
        <v>3</v>
      </c>
      <c r="HN142" t="s">
        <v>132</v>
      </c>
      <c r="HO142" t="s">
        <v>133</v>
      </c>
      <c r="HP142" t="s">
        <v>129</v>
      </c>
      <c r="HQ142" t="s">
        <v>129</v>
      </c>
      <c r="IK142">
        <v>0</v>
      </c>
    </row>
    <row r="143" spans="1:245" x14ac:dyDescent="0.2">
      <c r="A143">
        <v>17</v>
      </c>
      <c r="B143">
        <v>1</v>
      </c>
      <c r="C143">
        <f>ROW(SmtRes!A59)</f>
        <v>59</v>
      </c>
      <c r="D143">
        <f>ROW(EtalonRes!A60)</f>
        <v>60</v>
      </c>
      <c r="E143" t="s">
        <v>148</v>
      </c>
      <c r="F143" t="s">
        <v>135</v>
      </c>
      <c r="G143" t="s">
        <v>136</v>
      </c>
      <c r="H143" t="s">
        <v>137</v>
      </c>
      <c r="I143">
        <v>6</v>
      </c>
      <c r="J143">
        <v>0</v>
      </c>
      <c r="K143">
        <v>6</v>
      </c>
      <c r="O143">
        <f t="shared" si="69"/>
        <v>39802.9</v>
      </c>
      <c r="P143">
        <f>SUMIF(SmtRes!AQ51:'SmtRes'!AQ59,"=1",SmtRes!DF51:'SmtRes'!DF59)</f>
        <v>7379.73</v>
      </c>
      <c r="Q143">
        <f>SUMIF(SmtRes!AQ51:'SmtRes'!AQ59,"=1",SmtRes!DG51:'SmtRes'!DG59)</f>
        <v>127.77</v>
      </c>
      <c r="R143">
        <f>SUMIF(SmtRes!AQ51:'SmtRes'!AQ59,"=1",SmtRes!DH51:'SmtRes'!DH59)</f>
        <v>68.97</v>
      </c>
      <c r="S143">
        <f>SUMIF(SmtRes!AQ51:'SmtRes'!AQ59,"=1",SmtRes!DI51:'SmtRes'!DI59)</f>
        <v>32226.43</v>
      </c>
      <c r="T143">
        <f t="shared" si="70"/>
        <v>0</v>
      </c>
      <c r="U143">
        <f>SUMIF(SmtRes!AQ51:'SmtRes'!AQ59,"=1",SmtRes!CV51:'SmtRes'!CV59)</f>
        <v>67.2</v>
      </c>
      <c r="V143">
        <f>SUMIF(SmtRes!AQ51:'SmtRes'!AQ59,"=1",SmtRes!CW51:'SmtRes'!CW59)</f>
        <v>0.12</v>
      </c>
      <c r="W143">
        <f t="shared" si="71"/>
        <v>0</v>
      </c>
      <c r="X143">
        <f t="shared" si="72"/>
        <v>31326.54</v>
      </c>
      <c r="Y143">
        <f t="shared" si="72"/>
        <v>16470.650000000001</v>
      </c>
      <c r="AA143">
        <v>65174513</v>
      </c>
      <c r="AB143">
        <f t="shared" si="73"/>
        <v>6374.0542599999999</v>
      </c>
      <c r="AC143">
        <f>ROUND((SUM(SmtRes!BQ51:'SmtRes'!BQ59)),6)</f>
        <v>982.69115999999997</v>
      </c>
      <c r="AD143">
        <f>ROUND((((SUM(SmtRes!BR51:'SmtRes'!BR59))-(SUM(SmtRes!BS51:'SmtRes'!BS59)))+AE143),6)</f>
        <v>20.2911</v>
      </c>
      <c r="AE143">
        <f>ROUND((SUM(SmtRes!BS51:'SmtRes'!BS59)),6)</f>
        <v>11.494899999999999</v>
      </c>
      <c r="AF143">
        <f>ROUND((SUM(SmtRes!BT51:'SmtRes'!BT59)),6)</f>
        <v>5371.0720000000001</v>
      </c>
      <c r="AG143">
        <f t="shared" si="74"/>
        <v>0</v>
      </c>
      <c r="AH143">
        <f>(SUM(SmtRes!BU51:'SmtRes'!BU59))</f>
        <v>11.2</v>
      </c>
      <c r="AI143">
        <f>(SUM(SmtRes!BV51:'SmtRes'!BV59))</f>
        <v>0.02</v>
      </c>
      <c r="AJ143">
        <f t="shared" si="75"/>
        <v>0</v>
      </c>
      <c r="AK143">
        <v>6385.5491599999996</v>
      </c>
      <c r="AL143">
        <v>982.69115999999997</v>
      </c>
      <c r="AM143">
        <v>20.2911</v>
      </c>
      <c r="AN143">
        <v>11.494900000000001</v>
      </c>
      <c r="AO143">
        <v>5371.0720000000001</v>
      </c>
      <c r="AP143">
        <v>0</v>
      </c>
      <c r="AQ143">
        <v>11.2</v>
      </c>
      <c r="AR143">
        <v>0.02</v>
      </c>
      <c r="AS143">
        <v>0</v>
      </c>
      <c r="AT143">
        <v>97</v>
      </c>
      <c r="AU143">
        <v>51</v>
      </c>
      <c r="AV143">
        <v>1</v>
      </c>
      <c r="AW143">
        <v>1</v>
      </c>
      <c r="AZ143">
        <v>1</v>
      </c>
      <c r="BA143">
        <v>1</v>
      </c>
      <c r="BB143">
        <v>1</v>
      </c>
      <c r="BC143">
        <v>1</v>
      </c>
      <c r="BD143" t="s">
        <v>3</v>
      </c>
      <c r="BE143" t="s">
        <v>3</v>
      </c>
      <c r="BF143" t="s">
        <v>3</v>
      </c>
      <c r="BG143" t="s">
        <v>3</v>
      </c>
      <c r="BH143">
        <v>0</v>
      </c>
      <c r="BI143">
        <v>2</v>
      </c>
      <c r="BJ143" t="s">
        <v>138</v>
      </c>
      <c r="BM143">
        <v>108001</v>
      </c>
      <c r="BN143">
        <v>0</v>
      </c>
      <c r="BO143" t="s">
        <v>3</v>
      </c>
      <c r="BP143">
        <v>0</v>
      </c>
      <c r="BQ143">
        <v>3</v>
      </c>
      <c r="BR143">
        <v>0</v>
      </c>
      <c r="BS143">
        <v>1</v>
      </c>
      <c r="BT143">
        <v>1</v>
      </c>
      <c r="BU143">
        <v>1</v>
      </c>
      <c r="BV143">
        <v>1</v>
      </c>
      <c r="BW143">
        <v>1</v>
      </c>
      <c r="BX143">
        <v>1</v>
      </c>
      <c r="BY143" t="s">
        <v>3</v>
      </c>
      <c r="BZ143">
        <v>97</v>
      </c>
      <c r="CA143">
        <v>51</v>
      </c>
      <c r="CB143" t="s">
        <v>3</v>
      </c>
      <c r="CE143">
        <v>0</v>
      </c>
      <c r="CF143">
        <v>0</v>
      </c>
      <c r="CG143">
        <v>0</v>
      </c>
      <c r="CM143">
        <v>0</v>
      </c>
      <c r="CN143" t="s">
        <v>3</v>
      </c>
      <c r="CO143">
        <v>0</v>
      </c>
      <c r="CP143">
        <f t="shared" si="76"/>
        <v>39802.9</v>
      </c>
      <c r="CQ143">
        <f>SUMIF(SmtRes!AQ51:'SmtRes'!AQ59,"=1",SmtRes!AA51:'SmtRes'!AA59)</f>
        <v>316024.24000000005</v>
      </c>
      <c r="CR143">
        <f>SUMIF(SmtRes!AQ51:'SmtRes'!AQ59,"=1",SmtRes!AB51:'SmtRes'!AB59)</f>
        <v>2129.4700000000003</v>
      </c>
      <c r="CS143">
        <f>SUMIF(SmtRes!AQ51:'SmtRes'!AQ59,"=1",SmtRes!AC51:'SmtRes'!AC59)</f>
        <v>1149.49</v>
      </c>
      <c r="CT143">
        <f>SUMIF(SmtRes!AQ51:'SmtRes'!AQ59,"=1",SmtRes!AD51:'SmtRes'!AD59)</f>
        <v>479.56</v>
      </c>
      <c r="CU143">
        <f t="shared" si="77"/>
        <v>0</v>
      </c>
      <c r="CV143">
        <f>SUMIF(SmtRes!AQ51:'SmtRes'!AQ59,"=1",SmtRes!BU51:'SmtRes'!BU59)</f>
        <v>11.2</v>
      </c>
      <c r="CW143">
        <f>SUMIF(SmtRes!AQ51:'SmtRes'!AQ59,"=1",SmtRes!BV51:'SmtRes'!BV59)</f>
        <v>0.02</v>
      </c>
      <c r="CX143">
        <f t="shared" si="78"/>
        <v>0</v>
      </c>
      <c r="CY143">
        <f t="shared" si="79"/>
        <v>31326.538000000004</v>
      </c>
      <c r="CZ143">
        <f t="shared" si="80"/>
        <v>16470.654000000002</v>
      </c>
      <c r="DC143" t="s">
        <v>3</v>
      </c>
      <c r="DD143" t="s">
        <v>3</v>
      </c>
      <c r="DE143" t="s">
        <v>3</v>
      </c>
      <c r="DF143" t="s">
        <v>3</v>
      </c>
      <c r="DG143" t="s">
        <v>3</v>
      </c>
      <c r="DH143" t="s">
        <v>3</v>
      </c>
      <c r="DI143" t="s">
        <v>3</v>
      </c>
      <c r="DJ143" t="s">
        <v>3</v>
      </c>
      <c r="DK143" t="s">
        <v>3</v>
      </c>
      <c r="DL143" t="s">
        <v>3</v>
      </c>
      <c r="DM143" t="s">
        <v>3</v>
      </c>
      <c r="DN143">
        <v>0</v>
      </c>
      <c r="DO143">
        <v>0</v>
      </c>
      <c r="DP143">
        <v>1</v>
      </c>
      <c r="DQ143">
        <v>1</v>
      </c>
      <c r="DU143">
        <v>1013</v>
      </c>
      <c r="DV143" t="s">
        <v>137</v>
      </c>
      <c r="DW143" t="s">
        <v>137</v>
      </c>
      <c r="DX143">
        <v>1</v>
      </c>
      <c r="DZ143" t="s">
        <v>3</v>
      </c>
      <c r="EA143" t="s">
        <v>3</v>
      </c>
      <c r="EB143" t="s">
        <v>3</v>
      </c>
      <c r="EC143" t="s">
        <v>3</v>
      </c>
      <c r="EE143">
        <v>64850885</v>
      </c>
      <c r="EF143">
        <v>3</v>
      </c>
      <c r="EG143" t="s">
        <v>128</v>
      </c>
      <c r="EH143">
        <v>0</v>
      </c>
      <c r="EI143" t="s">
        <v>3</v>
      </c>
      <c r="EJ143">
        <v>2</v>
      </c>
      <c r="EK143">
        <v>108001</v>
      </c>
      <c r="EL143" t="s">
        <v>129</v>
      </c>
      <c r="EM143" t="s">
        <v>130</v>
      </c>
      <c r="EO143" t="s">
        <v>3</v>
      </c>
      <c r="EQ143">
        <v>0</v>
      </c>
      <c r="ER143">
        <v>0</v>
      </c>
      <c r="ES143">
        <v>0</v>
      </c>
      <c r="ET143">
        <v>0</v>
      </c>
      <c r="EU143">
        <v>0</v>
      </c>
      <c r="EV143">
        <v>0</v>
      </c>
      <c r="EW143">
        <v>11.2</v>
      </c>
      <c r="EX143">
        <v>0.02</v>
      </c>
      <c r="EY143">
        <v>0</v>
      </c>
      <c r="FQ143">
        <v>0</v>
      </c>
      <c r="FR143">
        <f t="shared" si="81"/>
        <v>0</v>
      </c>
      <c r="FS143">
        <v>0</v>
      </c>
      <c r="FX143">
        <v>97</v>
      </c>
      <c r="FY143">
        <v>51</v>
      </c>
      <c r="GA143" t="s">
        <v>3</v>
      </c>
      <c r="GD143">
        <v>1</v>
      </c>
      <c r="GF143">
        <v>1642663661</v>
      </c>
      <c r="GG143">
        <v>2</v>
      </c>
      <c r="GH143">
        <v>1</v>
      </c>
      <c r="GI143">
        <v>-2</v>
      </c>
      <c r="GJ143">
        <v>0</v>
      </c>
      <c r="GK143">
        <v>0</v>
      </c>
      <c r="GL143">
        <f t="shared" si="82"/>
        <v>0</v>
      </c>
      <c r="GM143">
        <f t="shared" si="83"/>
        <v>87600.09</v>
      </c>
      <c r="GN143">
        <f t="shared" si="84"/>
        <v>0</v>
      </c>
      <c r="GO143">
        <f t="shared" si="85"/>
        <v>87600.09</v>
      </c>
      <c r="GP143">
        <f t="shared" si="86"/>
        <v>0</v>
      </c>
      <c r="GR143">
        <v>0</v>
      </c>
      <c r="GS143">
        <v>3</v>
      </c>
      <c r="GT143">
        <v>0</v>
      </c>
      <c r="GU143" t="s">
        <v>3</v>
      </c>
      <c r="GV143">
        <f t="shared" si="87"/>
        <v>0</v>
      </c>
      <c r="GW143">
        <v>1</v>
      </c>
      <c r="GX143">
        <f t="shared" si="88"/>
        <v>0</v>
      </c>
      <c r="HA143">
        <v>0</v>
      </c>
      <c r="HB143">
        <v>0</v>
      </c>
      <c r="HC143">
        <f t="shared" si="89"/>
        <v>0</v>
      </c>
      <c r="HE143" t="s">
        <v>3</v>
      </c>
      <c r="HF143" t="s">
        <v>3</v>
      </c>
      <c r="HM143" t="s">
        <v>3</v>
      </c>
      <c r="HN143" t="s">
        <v>132</v>
      </c>
      <c r="HO143" t="s">
        <v>133</v>
      </c>
      <c r="HP143" t="s">
        <v>129</v>
      </c>
      <c r="HQ143" t="s">
        <v>129</v>
      </c>
      <c r="IK143">
        <v>0</v>
      </c>
    </row>
    <row r="144" spans="1:245" x14ac:dyDescent="0.2">
      <c r="A144">
        <v>17</v>
      </c>
      <c r="B144">
        <v>1</v>
      </c>
      <c r="C144">
        <f>ROW(SmtRes!A63)</f>
        <v>63</v>
      </c>
      <c r="D144">
        <f>ROW(EtalonRes!A64)</f>
        <v>64</v>
      </c>
      <c r="E144" t="s">
        <v>149</v>
      </c>
      <c r="F144" t="s">
        <v>150</v>
      </c>
      <c r="G144" t="s">
        <v>151</v>
      </c>
      <c r="H144" t="s">
        <v>123</v>
      </c>
      <c r="I144">
        <f>ROUND(1320/100,7)</f>
        <v>13.2</v>
      </c>
      <c r="J144">
        <v>0</v>
      </c>
      <c r="K144">
        <f>ROUND(1320/100,7)</f>
        <v>13.2</v>
      </c>
      <c r="O144">
        <f t="shared" si="69"/>
        <v>34673.269999999997</v>
      </c>
      <c r="P144">
        <f>SUMIF(SmtRes!AQ60:'SmtRes'!AQ63,"=1",SmtRes!DF60:'SmtRes'!DF63)</f>
        <v>0</v>
      </c>
      <c r="Q144">
        <f>SUMIF(SmtRes!AQ60:'SmtRes'!AQ63,"=1",SmtRes!DG60:'SmtRes'!DG63)</f>
        <v>5114.3100000000004</v>
      </c>
      <c r="R144">
        <f>SUMIF(SmtRes!AQ60:'SmtRes'!AQ63,"=1",SmtRes!DH60:'SmtRes'!DH63)</f>
        <v>4338.42</v>
      </c>
      <c r="S144">
        <f>SUMIF(SmtRes!AQ60:'SmtRes'!AQ63,"=1",SmtRes!DI60:'SmtRes'!DI63)</f>
        <v>25220.54</v>
      </c>
      <c r="T144">
        <f t="shared" si="70"/>
        <v>0</v>
      </c>
      <c r="U144">
        <f>SUMIF(SmtRes!AQ60:'SmtRes'!AQ63,"=1",SmtRes!CV60:'SmtRes'!CV63)</f>
        <v>61.512</v>
      </c>
      <c r="V144">
        <f>SUMIF(SmtRes!AQ60:'SmtRes'!AQ63,"=1",SmtRes!CW60:'SmtRes'!CW63)</f>
        <v>8.8439999999999994</v>
      </c>
      <c r="W144">
        <f t="shared" si="71"/>
        <v>0</v>
      </c>
      <c r="X144">
        <f t="shared" si="72"/>
        <v>28672.19</v>
      </c>
      <c r="Y144">
        <f t="shared" si="72"/>
        <v>15075.07</v>
      </c>
      <c r="AA144">
        <v>65174513</v>
      </c>
      <c r="AB144">
        <f t="shared" si="73"/>
        <v>2230.8530000000001</v>
      </c>
      <c r="AC144">
        <f>ROUND((0),6)</f>
        <v>0</v>
      </c>
      <c r="AD144">
        <f>ROUND((((SUM(SmtRes!BR60:'SmtRes'!BR63))-(SUM(SmtRes!BS60:'SmtRes'!BS63)))+AE144),6)</f>
        <v>320.20639999999997</v>
      </c>
      <c r="AE144">
        <f>ROUND((SUM(SmtRes!BS60:'SmtRes'!BS63)),6)</f>
        <v>328.66849999999999</v>
      </c>
      <c r="AF144">
        <f>ROUND((SUM(SmtRes!BT60:'SmtRes'!BT63)),6)</f>
        <v>1910.6466</v>
      </c>
      <c r="AG144">
        <f t="shared" si="74"/>
        <v>0</v>
      </c>
      <c r="AH144">
        <f>(SUM(SmtRes!BU60:'SmtRes'!BU63))</f>
        <v>4.66</v>
      </c>
      <c r="AI144">
        <f>(SUM(SmtRes!BV60:'SmtRes'!BV63))</f>
        <v>0.67</v>
      </c>
      <c r="AJ144">
        <f t="shared" si="75"/>
        <v>0</v>
      </c>
      <c r="AK144">
        <v>2559.5215000000003</v>
      </c>
      <c r="AL144">
        <v>0</v>
      </c>
      <c r="AM144">
        <v>320.20640000000003</v>
      </c>
      <c r="AN144">
        <v>328.66850000000005</v>
      </c>
      <c r="AO144">
        <v>1910.6466</v>
      </c>
      <c r="AP144">
        <v>0</v>
      </c>
      <c r="AQ144">
        <v>4.66</v>
      </c>
      <c r="AR144">
        <v>0.67</v>
      </c>
      <c r="AS144">
        <v>0</v>
      </c>
      <c r="AT144">
        <v>97</v>
      </c>
      <c r="AU144">
        <v>51</v>
      </c>
      <c r="AV144">
        <v>1</v>
      </c>
      <c r="AW144">
        <v>1</v>
      </c>
      <c r="AZ144">
        <v>1</v>
      </c>
      <c r="BA144">
        <v>1</v>
      </c>
      <c r="BB144">
        <v>1</v>
      </c>
      <c r="BC144">
        <v>1</v>
      </c>
      <c r="BD144" t="s">
        <v>3</v>
      </c>
      <c r="BE144" t="s">
        <v>3</v>
      </c>
      <c r="BF144" t="s">
        <v>3</v>
      </c>
      <c r="BG144" t="s">
        <v>3</v>
      </c>
      <c r="BH144">
        <v>0</v>
      </c>
      <c r="BI144">
        <v>2</v>
      </c>
      <c r="BJ144" t="s">
        <v>152</v>
      </c>
      <c r="BM144">
        <v>108001</v>
      </c>
      <c r="BN144">
        <v>0</v>
      </c>
      <c r="BO144" t="s">
        <v>3</v>
      </c>
      <c r="BP144">
        <v>0</v>
      </c>
      <c r="BQ144">
        <v>3</v>
      </c>
      <c r="BR144">
        <v>0</v>
      </c>
      <c r="BS144">
        <v>1</v>
      </c>
      <c r="BT144">
        <v>1</v>
      </c>
      <c r="BU144">
        <v>1</v>
      </c>
      <c r="BV144">
        <v>1</v>
      </c>
      <c r="BW144">
        <v>1</v>
      </c>
      <c r="BX144">
        <v>1</v>
      </c>
      <c r="BY144" t="s">
        <v>3</v>
      </c>
      <c r="BZ144">
        <v>97</v>
      </c>
      <c r="CA144">
        <v>51</v>
      </c>
      <c r="CB144" t="s">
        <v>3</v>
      </c>
      <c r="CE144">
        <v>0</v>
      </c>
      <c r="CF144">
        <v>0</v>
      </c>
      <c r="CG144">
        <v>0</v>
      </c>
      <c r="CM144">
        <v>0</v>
      </c>
      <c r="CN144" t="s">
        <v>3</v>
      </c>
      <c r="CO144">
        <v>0</v>
      </c>
      <c r="CP144">
        <f t="shared" si="76"/>
        <v>34673.270000000004</v>
      </c>
      <c r="CQ144">
        <f>SUMIF(SmtRes!AQ60:'SmtRes'!AQ63,"=1",SmtRes!AA60:'SmtRes'!AA63)</f>
        <v>0</v>
      </c>
      <c r="CR144">
        <f>SUMIF(SmtRes!AQ60:'SmtRes'!AQ63,"=1",SmtRes!AB60:'SmtRes'!AB63)</f>
        <v>578.28</v>
      </c>
      <c r="CS144">
        <f>SUMIF(SmtRes!AQ60:'SmtRes'!AQ63,"=1",SmtRes!AC60:'SmtRes'!AC63)</f>
        <v>490.55</v>
      </c>
      <c r="CT144">
        <f>SUMIF(SmtRes!AQ60:'SmtRes'!AQ63,"=1",SmtRes!AD60:'SmtRes'!AD63)</f>
        <v>410.01</v>
      </c>
      <c r="CU144">
        <f t="shared" si="77"/>
        <v>0</v>
      </c>
      <c r="CV144">
        <f>SUMIF(SmtRes!AQ60:'SmtRes'!AQ63,"=1",SmtRes!BU60:'SmtRes'!BU63)</f>
        <v>4.66</v>
      </c>
      <c r="CW144">
        <f>SUMIF(SmtRes!AQ60:'SmtRes'!AQ63,"=1",SmtRes!BV60:'SmtRes'!BV63)</f>
        <v>0.67</v>
      </c>
      <c r="CX144">
        <f t="shared" si="78"/>
        <v>0</v>
      </c>
      <c r="CY144">
        <f t="shared" si="79"/>
        <v>28672.191200000001</v>
      </c>
      <c r="CZ144">
        <f t="shared" si="80"/>
        <v>15075.069599999999</v>
      </c>
      <c r="DC144" t="s">
        <v>3</v>
      </c>
      <c r="DD144" t="s">
        <v>3</v>
      </c>
      <c r="DE144" t="s">
        <v>3</v>
      </c>
      <c r="DF144" t="s">
        <v>3</v>
      </c>
      <c r="DG144" t="s">
        <v>3</v>
      </c>
      <c r="DH144" t="s">
        <v>3</v>
      </c>
      <c r="DI144" t="s">
        <v>3</v>
      </c>
      <c r="DJ144" t="s">
        <v>3</v>
      </c>
      <c r="DK144" t="s">
        <v>3</v>
      </c>
      <c r="DL144" t="s">
        <v>3</v>
      </c>
      <c r="DM144" t="s">
        <v>3</v>
      </c>
      <c r="DN144">
        <v>0</v>
      </c>
      <c r="DO144">
        <v>0</v>
      </c>
      <c r="DP144">
        <v>1</v>
      </c>
      <c r="DQ144">
        <v>1</v>
      </c>
      <c r="DU144">
        <v>1003</v>
      </c>
      <c r="DV144" t="s">
        <v>123</v>
      </c>
      <c r="DW144" t="s">
        <v>123</v>
      </c>
      <c r="DX144">
        <v>100</v>
      </c>
      <c r="DZ144" t="s">
        <v>3</v>
      </c>
      <c r="EA144" t="s">
        <v>3</v>
      </c>
      <c r="EB144" t="s">
        <v>3</v>
      </c>
      <c r="EC144" t="s">
        <v>3</v>
      </c>
      <c r="EE144">
        <v>64850885</v>
      </c>
      <c r="EF144">
        <v>3</v>
      </c>
      <c r="EG144" t="s">
        <v>128</v>
      </c>
      <c r="EH144">
        <v>0</v>
      </c>
      <c r="EI144" t="s">
        <v>3</v>
      </c>
      <c r="EJ144">
        <v>2</v>
      </c>
      <c r="EK144">
        <v>108001</v>
      </c>
      <c r="EL144" t="s">
        <v>129</v>
      </c>
      <c r="EM144" t="s">
        <v>130</v>
      </c>
      <c r="EO144" t="s">
        <v>3</v>
      </c>
      <c r="EQ144">
        <v>0</v>
      </c>
      <c r="ER144">
        <v>0</v>
      </c>
      <c r="ES144">
        <v>0</v>
      </c>
      <c r="ET144">
        <v>0</v>
      </c>
      <c r="EU144">
        <v>0</v>
      </c>
      <c r="EV144">
        <v>0</v>
      </c>
      <c r="EW144">
        <v>4.66</v>
      </c>
      <c r="EX144">
        <v>0.67</v>
      </c>
      <c r="EY144">
        <v>0</v>
      </c>
      <c r="FQ144">
        <v>0</v>
      </c>
      <c r="FR144">
        <f t="shared" si="81"/>
        <v>0</v>
      </c>
      <c r="FS144">
        <v>0</v>
      </c>
      <c r="FX144">
        <v>97</v>
      </c>
      <c r="FY144">
        <v>51</v>
      </c>
      <c r="GA144" t="s">
        <v>3</v>
      </c>
      <c r="GD144">
        <v>1</v>
      </c>
      <c r="GF144">
        <v>990209436</v>
      </c>
      <c r="GG144">
        <v>2</v>
      </c>
      <c r="GH144">
        <v>1</v>
      </c>
      <c r="GI144">
        <v>-2</v>
      </c>
      <c r="GJ144">
        <v>0</v>
      </c>
      <c r="GK144">
        <v>0</v>
      </c>
      <c r="GL144">
        <f t="shared" si="82"/>
        <v>0</v>
      </c>
      <c r="GM144">
        <f t="shared" si="83"/>
        <v>78420.53</v>
      </c>
      <c r="GN144">
        <f t="shared" si="84"/>
        <v>0</v>
      </c>
      <c r="GO144">
        <f t="shared" si="85"/>
        <v>78420.53</v>
      </c>
      <c r="GP144">
        <f t="shared" si="86"/>
        <v>0</v>
      </c>
      <c r="GR144">
        <v>0</v>
      </c>
      <c r="GS144">
        <v>3</v>
      </c>
      <c r="GT144">
        <v>0</v>
      </c>
      <c r="GU144" t="s">
        <v>3</v>
      </c>
      <c r="GV144">
        <f t="shared" si="87"/>
        <v>0</v>
      </c>
      <c r="GW144">
        <v>1</v>
      </c>
      <c r="GX144">
        <f t="shared" si="88"/>
        <v>0</v>
      </c>
      <c r="HA144">
        <v>0</v>
      </c>
      <c r="HB144">
        <v>0</v>
      </c>
      <c r="HC144">
        <f t="shared" si="89"/>
        <v>0</v>
      </c>
      <c r="HE144" t="s">
        <v>3</v>
      </c>
      <c r="HF144" t="s">
        <v>3</v>
      </c>
      <c r="HM144" t="s">
        <v>3</v>
      </c>
      <c r="HN144" t="s">
        <v>132</v>
      </c>
      <c r="HO144" t="s">
        <v>133</v>
      </c>
      <c r="HP144" t="s">
        <v>129</v>
      </c>
      <c r="HQ144" t="s">
        <v>129</v>
      </c>
      <c r="IK144">
        <v>0</v>
      </c>
    </row>
    <row r="145" spans="1:245" x14ac:dyDescent="0.2">
      <c r="A145">
        <v>17</v>
      </c>
      <c r="B145">
        <v>1</v>
      </c>
      <c r="C145">
        <f>ROW(SmtRes!A67)</f>
        <v>67</v>
      </c>
      <c r="D145">
        <f>ROW(EtalonRes!A69)</f>
        <v>69</v>
      </c>
      <c r="E145" t="s">
        <v>153</v>
      </c>
      <c r="F145" t="s">
        <v>154</v>
      </c>
      <c r="G145" t="s">
        <v>155</v>
      </c>
      <c r="H145" t="s">
        <v>137</v>
      </c>
      <c r="I145">
        <v>13</v>
      </c>
      <c r="J145">
        <v>0</v>
      </c>
      <c r="K145">
        <v>13</v>
      </c>
      <c r="O145">
        <f t="shared" si="69"/>
        <v>9283.11</v>
      </c>
      <c r="P145">
        <f>SUMIF(SmtRes!AQ64:'SmtRes'!AQ67,"=1",SmtRes!DF64:'SmtRes'!DF67)</f>
        <v>6103.63</v>
      </c>
      <c r="Q145">
        <f>SUMIF(SmtRes!AQ64:'SmtRes'!AQ67,"=1",SmtRes!DG64:'SmtRes'!DG67)</f>
        <v>0</v>
      </c>
      <c r="R145">
        <f>SUMIF(SmtRes!AQ64:'SmtRes'!AQ67,"=1",SmtRes!DH64:'SmtRes'!DH67)</f>
        <v>0</v>
      </c>
      <c r="S145">
        <f>SUMIF(SmtRes!AQ64:'SmtRes'!AQ67,"=1",SmtRes!DI64:'SmtRes'!DI67)</f>
        <v>3179.48</v>
      </c>
      <c r="T145">
        <f t="shared" si="70"/>
        <v>0</v>
      </c>
      <c r="U145">
        <f>SUMIF(SmtRes!AQ64:'SmtRes'!AQ67,"=1",SmtRes!CV64:'SmtRes'!CV67)</f>
        <v>6.63</v>
      </c>
      <c r="V145">
        <f>SUMIF(SmtRes!AQ64:'SmtRes'!AQ67,"=1",SmtRes!CW64:'SmtRes'!CW67)</f>
        <v>0</v>
      </c>
      <c r="W145">
        <f t="shared" si="71"/>
        <v>0</v>
      </c>
      <c r="X145">
        <f t="shared" si="72"/>
        <v>3084.1</v>
      </c>
      <c r="Y145">
        <f t="shared" si="72"/>
        <v>1621.53</v>
      </c>
      <c r="AA145">
        <v>65174513</v>
      </c>
      <c r="AB145">
        <f t="shared" si="73"/>
        <v>673.50059299999998</v>
      </c>
      <c r="AC145">
        <f>ROUND((SUM(SmtRes!BQ64:'SmtRes'!BQ67)),6)</f>
        <v>428.92499299999997</v>
      </c>
      <c r="AD145">
        <f>ROUND((((0)-(0))+AE145),6)</f>
        <v>0</v>
      </c>
      <c r="AE145">
        <f>ROUND((0),6)</f>
        <v>0</v>
      </c>
      <c r="AF145">
        <f>ROUND((SUM(SmtRes!BT64:'SmtRes'!BT67)),6)</f>
        <v>244.57560000000001</v>
      </c>
      <c r="AG145">
        <f t="shared" si="74"/>
        <v>0</v>
      </c>
      <c r="AH145">
        <f>(SUM(SmtRes!BU64:'SmtRes'!BU67))</f>
        <v>0.51</v>
      </c>
      <c r="AI145">
        <f>(0)</f>
        <v>0</v>
      </c>
      <c r="AJ145">
        <f t="shared" si="75"/>
        <v>0</v>
      </c>
      <c r="AK145">
        <v>673.50059290000002</v>
      </c>
      <c r="AL145">
        <v>428.92499290000001</v>
      </c>
      <c r="AM145">
        <v>0</v>
      </c>
      <c r="AN145">
        <v>0</v>
      </c>
      <c r="AO145">
        <v>244.57560000000001</v>
      </c>
      <c r="AP145">
        <v>0</v>
      </c>
      <c r="AQ145">
        <v>0.51</v>
      </c>
      <c r="AR145">
        <v>0</v>
      </c>
      <c r="AS145">
        <v>0</v>
      </c>
      <c r="AT145">
        <v>97</v>
      </c>
      <c r="AU145">
        <v>51</v>
      </c>
      <c r="AV145">
        <v>1</v>
      </c>
      <c r="AW145">
        <v>1</v>
      </c>
      <c r="AZ145">
        <v>1</v>
      </c>
      <c r="BA145">
        <v>1</v>
      </c>
      <c r="BB145">
        <v>1</v>
      </c>
      <c r="BC145">
        <v>1</v>
      </c>
      <c r="BD145" t="s">
        <v>3</v>
      </c>
      <c r="BE145" t="s">
        <v>3</v>
      </c>
      <c r="BF145" t="s">
        <v>3</v>
      </c>
      <c r="BG145" t="s">
        <v>3</v>
      </c>
      <c r="BH145">
        <v>0</v>
      </c>
      <c r="BI145">
        <v>2</v>
      </c>
      <c r="BJ145" t="s">
        <v>156</v>
      </c>
      <c r="BM145">
        <v>108001</v>
      </c>
      <c r="BN145">
        <v>0</v>
      </c>
      <c r="BO145" t="s">
        <v>3</v>
      </c>
      <c r="BP145">
        <v>0</v>
      </c>
      <c r="BQ145">
        <v>3</v>
      </c>
      <c r="BR145">
        <v>0</v>
      </c>
      <c r="BS145">
        <v>1</v>
      </c>
      <c r="BT145">
        <v>1</v>
      </c>
      <c r="BU145">
        <v>1</v>
      </c>
      <c r="BV145">
        <v>1</v>
      </c>
      <c r="BW145">
        <v>1</v>
      </c>
      <c r="BX145">
        <v>1</v>
      </c>
      <c r="BY145" t="s">
        <v>3</v>
      </c>
      <c r="BZ145">
        <v>97</v>
      </c>
      <c r="CA145">
        <v>51</v>
      </c>
      <c r="CB145" t="s">
        <v>3</v>
      </c>
      <c r="CE145">
        <v>0</v>
      </c>
      <c r="CF145">
        <v>0</v>
      </c>
      <c r="CG145">
        <v>0</v>
      </c>
      <c r="CM145">
        <v>0</v>
      </c>
      <c r="CN145" t="s">
        <v>3</v>
      </c>
      <c r="CO145">
        <v>0</v>
      </c>
      <c r="CP145">
        <f t="shared" si="76"/>
        <v>9283.11</v>
      </c>
      <c r="CQ145">
        <f>SUMIF(SmtRes!AQ64:'SmtRes'!AQ67,"=1",SmtRes!AA64:'SmtRes'!AA67)</f>
        <v>732326.65</v>
      </c>
      <c r="CR145">
        <f>SUMIF(SmtRes!AQ64:'SmtRes'!AQ67,"=1",SmtRes!AB64:'SmtRes'!AB67)</f>
        <v>0</v>
      </c>
      <c r="CS145">
        <f>SUMIF(SmtRes!AQ64:'SmtRes'!AQ67,"=1",SmtRes!AC64:'SmtRes'!AC67)</f>
        <v>0</v>
      </c>
      <c r="CT145">
        <f>SUMIF(SmtRes!AQ64:'SmtRes'!AQ67,"=1",SmtRes!AD64:'SmtRes'!AD67)</f>
        <v>479.56</v>
      </c>
      <c r="CU145">
        <f t="shared" si="77"/>
        <v>0</v>
      </c>
      <c r="CV145">
        <f>SUMIF(SmtRes!AQ64:'SmtRes'!AQ67,"=1",SmtRes!BU64:'SmtRes'!BU67)</f>
        <v>0.51</v>
      </c>
      <c r="CW145">
        <f>SUMIF(SmtRes!AQ64:'SmtRes'!AQ67,"=1",SmtRes!BV64:'SmtRes'!BV67)</f>
        <v>0</v>
      </c>
      <c r="CX145">
        <f t="shared" si="78"/>
        <v>0</v>
      </c>
      <c r="CY145">
        <f t="shared" si="79"/>
        <v>3084.0956000000001</v>
      </c>
      <c r="CZ145">
        <f t="shared" si="80"/>
        <v>1621.5348000000001</v>
      </c>
      <c r="DC145" t="s">
        <v>3</v>
      </c>
      <c r="DD145" t="s">
        <v>3</v>
      </c>
      <c r="DE145" t="s">
        <v>3</v>
      </c>
      <c r="DF145" t="s">
        <v>3</v>
      </c>
      <c r="DG145" t="s">
        <v>3</v>
      </c>
      <c r="DH145" t="s">
        <v>3</v>
      </c>
      <c r="DI145" t="s">
        <v>3</v>
      </c>
      <c r="DJ145" t="s">
        <v>3</v>
      </c>
      <c r="DK145" t="s">
        <v>3</v>
      </c>
      <c r="DL145" t="s">
        <v>3</v>
      </c>
      <c r="DM145" t="s">
        <v>3</v>
      </c>
      <c r="DN145">
        <v>0</v>
      </c>
      <c r="DO145">
        <v>0</v>
      </c>
      <c r="DP145">
        <v>1</v>
      </c>
      <c r="DQ145">
        <v>1</v>
      </c>
      <c r="DU145">
        <v>1013</v>
      </c>
      <c r="DV145" t="s">
        <v>137</v>
      </c>
      <c r="DW145" t="s">
        <v>137</v>
      </c>
      <c r="DX145">
        <v>1</v>
      </c>
      <c r="DZ145" t="s">
        <v>3</v>
      </c>
      <c r="EA145" t="s">
        <v>3</v>
      </c>
      <c r="EB145" t="s">
        <v>3</v>
      </c>
      <c r="EC145" t="s">
        <v>3</v>
      </c>
      <c r="EE145">
        <v>64850885</v>
      </c>
      <c r="EF145">
        <v>3</v>
      </c>
      <c r="EG145" t="s">
        <v>128</v>
      </c>
      <c r="EH145">
        <v>0</v>
      </c>
      <c r="EI145" t="s">
        <v>3</v>
      </c>
      <c r="EJ145">
        <v>2</v>
      </c>
      <c r="EK145">
        <v>108001</v>
      </c>
      <c r="EL145" t="s">
        <v>129</v>
      </c>
      <c r="EM145" t="s">
        <v>130</v>
      </c>
      <c r="EO145" t="s">
        <v>3</v>
      </c>
      <c r="EQ145">
        <v>0</v>
      </c>
      <c r="ER145">
        <v>0</v>
      </c>
      <c r="ES145">
        <v>0</v>
      </c>
      <c r="ET145">
        <v>0</v>
      </c>
      <c r="EU145">
        <v>0</v>
      </c>
      <c r="EV145">
        <v>0</v>
      </c>
      <c r="EW145">
        <v>0.51</v>
      </c>
      <c r="EX145">
        <v>0</v>
      </c>
      <c r="EY145">
        <v>0</v>
      </c>
      <c r="FQ145">
        <v>0</v>
      </c>
      <c r="FR145">
        <f t="shared" si="81"/>
        <v>0</v>
      </c>
      <c r="FS145">
        <v>0</v>
      </c>
      <c r="FX145">
        <v>97</v>
      </c>
      <c r="FY145">
        <v>51</v>
      </c>
      <c r="GA145" t="s">
        <v>3</v>
      </c>
      <c r="GD145">
        <v>1</v>
      </c>
      <c r="GF145">
        <v>-766800679</v>
      </c>
      <c r="GG145">
        <v>2</v>
      </c>
      <c r="GH145">
        <v>1</v>
      </c>
      <c r="GI145">
        <v>-2</v>
      </c>
      <c r="GJ145">
        <v>0</v>
      </c>
      <c r="GK145">
        <v>0</v>
      </c>
      <c r="GL145">
        <f t="shared" si="82"/>
        <v>0</v>
      </c>
      <c r="GM145">
        <f t="shared" si="83"/>
        <v>13988.74</v>
      </c>
      <c r="GN145">
        <f t="shared" si="84"/>
        <v>0</v>
      </c>
      <c r="GO145">
        <f t="shared" si="85"/>
        <v>13988.74</v>
      </c>
      <c r="GP145">
        <f t="shared" si="86"/>
        <v>0</v>
      </c>
      <c r="GR145">
        <v>0</v>
      </c>
      <c r="GS145">
        <v>0</v>
      </c>
      <c r="GT145">
        <v>0</v>
      </c>
      <c r="GU145" t="s">
        <v>3</v>
      </c>
      <c r="GV145">
        <f t="shared" si="87"/>
        <v>0</v>
      </c>
      <c r="GW145">
        <v>1</v>
      </c>
      <c r="GX145">
        <f t="shared" si="88"/>
        <v>0</v>
      </c>
      <c r="HA145">
        <v>0</v>
      </c>
      <c r="HB145">
        <v>0</v>
      </c>
      <c r="HC145">
        <f t="shared" si="89"/>
        <v>0</v>
      </c>
      <c r="HE145" t="s">
        <v>3</v>
      </c>
      <c r="HF145" t="s">
        <v>3</v>
      </c>
      <c r="HM145" t="s">
        <v>3</v>
      </c>
      <c r="HN145" t="s">
        <v>132</v>
      </c>
      <c r="HO145" t="s">
        <v>133</v>
      </c>
      <c r="HP145" t="s">
        <v>129</v>
      </c>
      <c r="HQ145" t="s">
        <v>129</v>
      </c>
      <c r="IK145">
        <v>0</v>
      </c>
    </row>
    <row r="147" spans="1:245" x14ac:dyDescent="0.2">
      <c r="A147" s="2">
        <v>51</v>
      </c>
      <c r="B147" s="2">
        <f>B136</f>
        <v>1</v>
      </c>
      <c r="C147" s="2">
        <f>A136</f>
        <v>4</v>
      </c>
      <c r="D147" s="2">
        <f>ROW(A136)</f>
        <v>136</v>
      </c>
      <c r="E147" s="2"/>
      <c r="F147" s="2" t="str">
        <f>IF(F136&lt;&gt;"",F136,"")</f>
        <v>Новый раздел</v>
      </c>
      <c r="G147" s="2" t="str">
        <f>IF(G136&lt;&gt;"",G136,"")</f>
        <v>Монтажные работы</v>
      </c>
      <c r="H147" s="2">
        <v>0</v>
      </c>
      <c r="I147" s="2"/>
      <c r="J147" s="2"/>
      <c r="K147" s="2"/>
      <c r="L147" s="2"/>
      <c r="M147" s="2"/>
      <c r="N147" s="2"/>
      <c r="O147" s="2">
        <f t="shared" ref="O147:T147" si="90">ROUND(AB147,2)</f>
        <v>540533.14</v>
      </c>
      <c r="P147" s="2">
        <f t="shared" si="90"/>
        <v>30713.68</v>
      </c>
      <c r="Q147" s="2">
        <f t="shared" si="90"/>
        <v>112012.46</v>
      </c>
      <c r="R147" s="2">
        <f t="shared" si="90"/>
        <v>70236.350000000006</v>
      </c>
      <c r="S147" s="2">
        <f t="shared" si="90"/>
        <v>327570.65000000002</v>
      </c>
      <c r="T147" s="2">
        <f t="shared" si="90"/>
        <v>0</v>
      </c>
      <c r="U147" s="2">
        <f>AH147</f>
        <v>691.98599999999999</v>
      </c>
      <c r="V147" s="2">
        <f>AI147</f>
        <v>131.196</v>
      </c>
      <c r="W147" s="2">
        <f>ROUND(AJ147,2)</f>
        <v>0</v>
      </c>
      <c r="X147" s="2">
        <f>ROUND(AK147,2)</f>
        <v>385872.79</v>
      </c>
      <c r="Y147" s="2">
        <f>ROUND(AL147,2)</f>
        <v>202881.56</v>
      </c>
      <c r="Z147" s="2"/>
      <c r="AA147" s="2"/>
      <c r="AB147" s="2">
        <f>ROUND(SUMIF(AA140:AA145,"=65174513",O140:O145),2)</f>
        <v>540533.14</v>
      </c>
      <c r="AC147" s="2">
        <f>ROUND(SUMIF(AA140:AA145,"=65174513",P140:P145),2)</f>
        <v>30713.68</v>
      </c>
      <c r="AD147" s="2">
        <f>ROUND(SUMIF(AA140:AA145,"=65174513",Q140:Q145),2)</f>
        <v>112012.46</v>
      </c>
      <c r="AE147" s="2">
        <f>ROUND(SUMIF(AA140:AA145,"=65174513",R140:R145),2)</f>
        <v>70236.350000000006</v>
      </c>
      <c r="AF147" s="2">
        <f>ROUND(SUMIF(AA140:AA145,"=65174513",S140:S145),2)</f>
        <v>327570.65000000002</v>
      </c>
      <c r="AG147" s="2">
        <f>ROUND(SUMIF(AA140:AA145,"=65174513",T140:T145),2)</f>
        <v>0</v>
      </c>
      <c r="AH147" s="2">
        <f>SUMIF(AA140:AA145,"=65174513",U140:U145)</f>
        <v>691.98599999999999</v>
      </c>
      <c r="AI147" s="2">
        <f>SUMIF(AA140:AA145,"=65174513",V140:V145)</f>
        <v>131.196</v>
      </c>
      <c r="AJ147" s="2">
        <f>ROUND(SUMIF(AA140:AA145,"=65174513",W140:W145),2)</f>
        <v>0</v>
      </c>
      <c r="AK147" s="2">
        <f>ROUND(SUMIF(AA140:AA145,"=65174513",X140:X145),2)</f>
        <v>385872.79</v>
      </c>
      <c r="AL147" s="2">
        <f>ROUND(SUMIF(AA140:AA145,"=65174513",Y140:Y145),2)</f>
        <v>202881.56</v>
      </c>
      <c r="AM147" s="2"/>
      <c r="AN147" s="2"/>
      <c r="AO147" s="2">
        <f t="shared" ref="AO147:BD147" si="91">ROUND(BX147,2)</f>
        <v>0</v>
      </c>
      <c r="AP147" s="2">
        <f t="shared" si="91"/>
        <v>0</v>
      </c>
      <c r="AQ147" s="2">
        <f t="shared" si="91"/>
        <v>0</v>
      </c>
      <c r="AR147" s="2">
        <f t="shared" si="91"/>
        <v>1129287.49</v>
      </c>
      <c r="AS147" s="2">
        <f t="shared" si="91"/>
        <v>0</v>
      </c>
      <c r="AT147" s="2">
        <f t="shared" si="91"/>
        <v>1129287.49</v>
      </c>
      <c r="AU147" s="2">
        <f t="shared" si="91"/>
        <v>0</v>
      </c>
      <c r="AV147" s="2">
        <f t="shared" si="91"/>
        <v>30713.68</v>
      </c>
      <c r="AW147" s="2">
        <f t="shared" si="91"/>
        <v>30713.68</v>
      </c>
      <c r="AX147" s="2">
        <f t="shared" si="91"/>
        <v>0</v>
      </c>
      <c r="AY147" s="2">
        <f t="shared" si="91"/>
        <v>30713.68</v>
      </c>
      <c r="AZ147" s="2">
        <f t="shared" si="91"/>
        <v>0</v>
      </c>
      <c r="BA147" s="2">
        <f t="shared" si="91"/>
        <v>0</v>
      </c>
      <c r="BB147" s="2">
        <f t="shared" si="91"/>
        <v>0</v>
      </c>
      <c r="BC147" s="2">
        <f t="shared" si="91"/>
        <v>0</v>
      </c>
      <c r="BD147" s="2">
        <f t="shared" si="91"/>
        <v>0</v>
      </c>
      <c r="BE147" s="2"/>
      <c r="BF147" s="2"/>
      <c r="BG147" s="2"/>
      <c r="BH147" s="2"/>
      <c r="BI147" s="2"/>
      <c r="BJ147" s="2"/>
      <c r="BK147" s="2"/>
      <c r="BL147" s="2"/>
      <c r="BM147" s="2"/>
      <c r="BN147" s="2"/>
      <c r="BO147" s="2"/>
      <c r="BP147" s="2"/>
      <c r="BQ147" s="2"/>
      <c r="BR147" s="2"/>
      <c r="BS147" s="2"/>
      <c r="BT147" s="2"/>
      <c r="BU147" s="2"/>
      <c r="BV147" s="2"/>
      <c r="BW147" s="2"/>
      <c r="BX147" s="2">
        <f>ROUND(SUMIF(AA140:AA145,"=65174513",FQ140:FQ145),2)</f>
        <v>0</v>
      </c>
      <c r="BY147" s="2">
        <f>ROUND(SUMIF(AA140:AA145,"=65174513",FR140:FR145),2)</f>
        <v>0</v>
      </c>
      <c r="BZ147" s="2">
        <f>ROUND(SUMIF(AA140:AA145,"=65174513",GL140:GL145),2)</f>
        <v>0</v>
      </c>
      <c r="CA147" s="2">
        <f>ROUND(SUMIF(AA140:AA145,"=65174513",GM140:GM145),2)</f>
        <v>1129287.49</v>
      </c>
      <c r="CB147" s="2">
        <f>ROUND(SUMIF(AA140:AA145,"=65174513",GN140:GN145),2)</f>
        <v>0</v>
      </c>
      <c r="CC147" s="2">
        <f>ROUND(SUMIF(AA140:AA145,"=65174513",GO140:GO145),2)</f>
        <v>1129287.49</v>
      </c>
      <c r="CD147" s="2">
        <f>ROUND(SUMIF(AA140:AA145,"=65174513",GP140:GP145),2)</f>
        <v>0</v>
      </c>
      <c r="CE147" s="2">
        <f>AC147-BX147</f>
        <v>30713.68</v>
      </c>
      <c r="CF147" s="2">
        <f>AC147-BY147</f>
        <v>30713.68</v>
      </c>
      <c r="CG147" s="2">
        <f>BX147-BZ147</f>
        <v>0</v>
      </c>
      <c r="CH147" s="2">
        <f>AC147-BX147-BY147+BZ147</f>
        <v>30713.68</v>
      </c>
      <c r="CI147" s="2">
        <f>BY147-BZ147</f>
        <v>0</v>
      </c>
      <c r="CJ147" s="2">
        <f>ROUND(SUMIF(AA140:AA145,"=65174513",GX140:GX145),2)</f>
        <v>0</v>
      </c>
      <c r="CK147" s="2">
        <f>ROUND(SUMIF(AA140:AA145,"=65174513",GY140:GY145),2)</f>
        <v>0</v>
      </c>
      <c r="CL147" s="2">
        <f>ROUND(SUMIF(AA140:AA145,"=65174513",GZ140:GZ145),2)</f>
        <v>0</v>
      </c>
      <c r="CM147" s="2">
        <f>ROUND(SUMIF(AA140:AA145,"=65174513",HD140:HD145),2)</f>
        <v>0</v>
      </c>
      <c r="CN147" s="2"/>
      <c r="CO147" s="2"/>
      <c r="CP147" s="2"/>
      <c r="CQ147" s="2"/>
      <c r="CR147" s="2"/>
      <c r="CS147" s="2"/>
      <c r="CT147" s="2"/>
      <c r="CU147" s="2"/>
      <c r="CV147" s="2"/>
      <c r="CW147" s="2"/>
      <c r="CX147" s="2"/>
      <c r="CY147" s="2"/>
      <c r="CZ147" s="2"/>
      <c r="DA147" s="2"/>
      <c r="DB147" s="2"/>
      <c r="DC147" s="2"/>
      <c r="DD147" s="2"/>
      <c r="DE147" s="2"/>
      <c r="DF147" s="2"/>
      <c r="DG147" s="3"/>
      <c r="DH147" s="3"/>
      <c r="DI147" s="3"/>
      <c r="DJ147" s="3"/>
      <c r="DK147" s="3"/>
      <c r="DL147" s="3"/>
      <c r="DM147" s="3"/>
      <c r="DN147" s="3"/>
      <c r="DO147" s="3"/>
      <c r="DP147" s="3"/>
      <c r="DQ147" s="3"/>
      <c r="DR147" s="3"/>
      <c r="DS147" s="3"/>
      <c r="DT147" s="3"/>
      <c r="DU147" s="3"/>
      <c r="DV147" s="3"/>
      <c r="DW147" s="3"/>
      <c r="DX147" s="3"/>
      <c r="DY147" s="3"/>
      <c r="DZ147" s="3"/>
      <c r="EA147" s="3"/>
      <c r="EB147" s="3"/>
      <c r="EC147" s="3"/>
      <c r="ED147" s="3"/>
      <c r="EE147" s="3"/>
      <c r="EF147" s="3"/>
      <c r="EG147" s="3"/>
      <c r="EH147" s="3"/>
      <c r="EI147" s="3"/>
      <c r="EJ147" s="3"/>
      <c r="EK147" s="3"/>
      <c r="EL147" s="3"/>
      <c r="EM147" s="3"/>
      <c r="EN147" s="3"/>
      <c r="EO147" s="3"/>
      <c r="EP147" s="3"/>
      <c r="EQ147" s="3"/>
      <c r="ER147" s="3"/>
      <c r="ES147" s="3"/>
      <c r="ET147" s="3"/>
      <c r="EU147" s="3"/>
      <c r="EV147" s="3"/>
      <c r="EW147" s="3"/>
      <c r="EX147" s="3"/>
      <c r="EY147" s="3"/>
      <c r="EZ147" s="3"/>
      <c r="FA147" s="3"/>
      <c r="FB147" s="3"/>
      <c r="FC147" s="3"/>
      <c r="FD147" s="3"/>
      <c r="FE147" s="3"/>
      <c r="FF147" s="3"/>
      <c r="FG147" s="3"/>
      <c r="FH147" s="3"/>
      <c r="FI147" s="3"/>
      <c r="FJ147" s="3"/>
      <c r="FK147" s="3"/>
      <c r="FL147" s="3"/>
      <c r="FM147" s="3"/>
      <c r="FN147" s="3"/>
      <c r="FO147" s="3"/>
      <c r="FP147" s="3"/>
      <c r="FQ147" s="3"/>
      <c r="FR147" s="3"/>
      <c r="FS147" s="3"/>
      <c r="FT147" s="3"/>
      <c r="FU147" s="3"/>
      <c r="FV147" s="3"/>
      <c r="FW147" s="3"/>
      <c r="FX147" s="3"/>
      <c r="FY147" s="3"/>
      <c r="FZ147" s="3"/>
      <c r="GA147" s="3"/>
      <c r="GB147" s="3"/>
      <c r="GC147" s="3"/>
      <c r="GD147" s="3"/>
      <c r="GE147" s="3"/>
      <c r="GF147" s="3"/>
      <c r="GG147" s="3"/>
      <c r="GH147" s="3"/>
      <c r="GI147" s="3"/>
      <c r="GJ147" s="3"/>
      <c r="GK147" s="3"/>
      <c r="GL147" s="3"/>
      <c r="GM147" s="3"/>
      <c r="GN147" s="3"/>
      <c r="GO147" s="3"/>
      <c r="GP147" s="3"/>
      <c r="GQ147" s="3"/>
      <c r="GR147" s="3"/>
      <c r="GS147" s="3"/>
      <c r="GT147" s="3"/>
      <c r="GU147" s="3"/>
      <c r="GV147" s="3"/>
      <c r="GW147" s="3"/>
      <c r="GX147" s="3">
        <v>0</v>
      </c>
    </row>
    <row r="149" spans="1:245" x14ac:dyDescent="0.2">
      <c r="A149" s="4">
        <v>50</v>
      </c>
      <c r="B149" s="4">
        <v>0</v>
      </c>
      <c r="C149" s="4">
        <v>0</v>
      </c>
      <c r="D149" s="4">
        <v>1</v>
      </c>
      <c r="E149" s="4">
        <v>201</v>
      </c>
      <c r="F149" s="4">
        <f>ROUND(Source!O147,O149)</f>
        <v>540533.14</v>
      </c>
      <c r="G149" s="4" t="s">
        <v>17</v>
      </c>
      <c r="H149" s="4" t="s">
        <v>18</v>
      </c>
      <c r="I149" s="4"/>
      <c r="J149" s="4"/>
      <c r="K149" s="4">
        <v>201</v>
      </c>
      <c r="L149" s="4">
        <v>1</v>
      </c>
      <c r="M149" s="4">
        <v>3</v>
      </c>
      <c r="N149" s="4" t="s">
        <v>3</v>
      </c>
      <c r="O149" s="4">
        <v>2</v>
      </c>
      <c r="P149" s="4"/>
      <c r="Q149" s="4"/>
      <c r="R149" s="4"/>
      <c r="S149" s="4"/>
      <c r="T149" s="4"/>
      <c r="U149" s="4"/>
      <c r="V149" s="4"/>
      <c r="W149" s="4">
        <v>540533.14</v>
      </c>
      <c r="X149" s="4">
        <v>1</v>
      </c>
      <c r="Y149" s="4">
        <v>540533.14</v>
      </c>
      <c r="Z149" s="4"/>
      <c r="AA149" s="4"/>
      <c r="AB149" s="4"/>
    </row>
    <row r="150" spans="1:245" x14ac:dyDescent="0.2">
      <c r="A150" s="4">
        <v>50</v>
      </c>
      <c r="B150" s="4">
        <v>0</v>
      </c>
      <c r="C150" s="4">
        <v>0</v>
      </c>
      <c r="D150" s="4">
        <v>1</v>
      </c>
      <c r="E150" s="4">
        <v>202</v>
      </c>
      <c r="F150" s="4">
        <f>ROUND(Source!P147,O150)</f>
        <v>30713.68</v>
      </c>
      <c r="G150" s="4" t="s">
        <v>19</v>
      </c>
      <c r="H150" s="4" t="s">
        <v>20</v>
      </c>
      <c r="I150" s="4"/>
      <c r="J150" s="4"/>
      <c r="K150" s="4">
        <v>202</v>
      </c>
      <c r="L150" s="4">
        <v>2</v>
      </c>
      <c r="M150" s="4">
        <v>3</v>
      </c>
      <c r="N150" s="4" t="s">
        <v>3</v>
      </c>
      <c r="O150" s="4">
        <v>2</v>
      </c>
      <c r="P150" s="4"/>
      <c r="Q150" s="4"/>
      <c r="R150" s="4"/>
      <c r="S150" s="4"/>
      <c r="T150" s="4"/>
      <c r="U150" s="4"/>
      <c r="V150" s="4"/>
      <c r="W150" s="4">
        <v>30713.68</v>
      </c>
      <c r="X150" s="4">
        <v>1</v>
      </c>
      <c r="Y150" s="4">
        <v>30713.68</v>
      </c>
      <c r="Z150" s="4"/>
      <c r="AA150" s="4"/>
      <c r="AB150" s="4"/>
    </row>
    <row r="151" spans="1:245" x14ac:dyDescent="0.2">
      <c r="A151" s="4">
        <v>50</v>
      </c>
      <c r="B151" s="4">
        <v>0</v>
      </c>
      <c r="C151" s="4">
        <v>0</v>
      </c>
      <c r="D151" s="4">
        <v>1</v>
      </c>
      <c r="E151" s="4">
        <v>222</v>
      </c>
      <c r="F151" s="4">
        <f>ROUND(Source!AO147,O151)</f>
        <v>0</v>
      </c>
      <c r="G151" s="4" t="s">
        <v>21</v>
      </c>
      <c r="H151" s="4" t="s">
        <v>22</v>
      </c>
      <c r="I151" s="4"/>
      <c r="J151" s="4"/>
      <c r="K151" s="4">
        <v>222</v>
      </c>
      <c r="L151" s="4">
        <v>3</v>
      </c>
      <c r="M151" s="4">
        <v>3</v>
      </c>
      <c r="N151" s="4" t="s">
        <v>3</v>
      </c>
      <c r="O151" s="4">
        <v>2</v>
      </c>
      <c r="P151" s="4"/>
      <c r="Q151" s="4"/>
      <c r="R151" s="4"/>
      <c r="S151" s="4"/>
      <c r="T151" s="4"/>
      <c r="U151" s="4"/>
      <c r="V151" s="4"/>
      <c r="W151" s="4">
        <v>0</v>
      </c>
      <c r="X151" s="4">
        <v>1</v>
      </c>
      <c r="Y151" s="4">
        <v>0</v>
      </c>
      <c r="Z151" s="4"/>
      <c r="AA151" s="4"/>
      <c r="AB151" s="4"/>
    </row>
    <row r="152" spans="1:245" x14ac:dyDescent="0.2">
      <c r="A152" s="4">
        <v>50</v>
      </c>
      <c r="B152" s="4">
        <v>0</v>
      </c>
      <c r="C152" s="4">
        <v>0</v>
      </c>
      <c r="D152" s="4">
        <v>1</v>
      </c>
      <c r="E152" s="4">
        <v>225</v>
      </c>
      <c r="F152" s="4">
        <f>ROUND(Source!AV147,O152)</f>
        <v>30713.68</v>
      </c>
      <c r="G152" s="4" t="s">
        <v>23</v>
      </c>
      <c r="H152" s="4" t="s">
        <v>24</v>
      </c>
      <c r="I152" s="4"/>
      <c r="J152" s="4"/>
      <c r="K152" s="4">
        <v>225</v>
      </c>
      <c r="L152" s="4">
        <v>4</v>
      </c>
      <c r="M152" s="4">
        <v>3</v>
      </c>
      <c r="N152" s="4" t="s">
        <v>3</v>
      </c>
      <c r="O152" s="4">
        <v>2</v>
      </c>
      <c r="P152" s="4"/>
      <c r="Q152" s="4"/>
      <c r="R152" s="4"/>
      <c r="S152" s="4"/>
      <c r="T152" s="4"/>
      <c r="U152" s="4"/>
      <c r="V152" s="4"/>
      <c r="W152" s="4">
        <v>30713.68</v>
      </c>
      <c r="X152" s="4">
        <v>1</v>
      </c>
      <c r="Y152" s="4">
        <v>30713.68</v>
      </c>
      <c r="Z152" s="4"/>
      <c r="AA152" s="4"/>
      <c r="AB152" s="4"/>
    </row>
    <row r="153" spans="1:245" x14ac:dyDescent="0.2">
      <c r="A153" s="4">
        <v>50</v>
      </c>
      <c r="B153" s="4">
        <v>0</v>
      </c>
      <c r="C153" s="4">
        <v>0</v>
      </c>
      <c r="D153" s="4">
        <v>1</v>
      </c>
      <c r="E153" s="4">
        <v>226</v>
      </c>
      <c r="F153" s="4">
        <f>ROUND(Source!AW147,O153)</f>
        <v>30713.68</v>
      </c>
      <c r="G153" s="4" t="s">
        <v>25</v>
      </c>
      <c r="H153" s="4" t="s">
        <v>26</v>
      </c>
      <c r="I153" s="4"/>
      <c r="J153" s="4"/>
      <c r="K153" s="4">
        <v>226</v>
      </c>
      <c r="L153" s="4">
        <v>5</v>
      </c>
      <c r="M153" s="4">
        <v>3</v>
      </c>
      <c r="N153" s="4" t="s">
        <v>3</v>
      </c>
      <c r="O153" s="4">
        <v>2</v>
      </c>
      <c r="P153" s="4"/>
      <c r="Q153" s="4"/>
      <c r="R153" s="4"/>
      <c r="S153" s="4"/>
      <c r="T153" s="4"/>
      <c r="U153" s="4"/>
      <c r="V153" s="4"/>
      <c r="W153" s="4">
        <v>30713.68</v>
      </c>
      <c r="X153" s="4">
        <v>1</v>
      </c>
      <c r="Y153" s="4">
        <v>30713.68</v>
      </c>
      <c r="Z153" s="4"/>
      <c r="AA153" s="4"/>
      <c r="AB153" s="4"/>
    </row>
    <row r="154" spans="1:245" x14ac:dyDescent="0.2">
      <c r="A154" s="4">
        <v>50</v>
      </c>
      <c r="B154" s="4">
        <v>0</v>
      </c>
      <c r="C154" s="4">
        <v>0</v>
      </c>
      <c r="D154" s="4">
        <v>1</v>
      </c>
      <c r="E154" s="4">
        <v>227</v>
      </c>
      <c r="F154" s="4">
        <f>ROUND(Source!AX147,O154)</f>
        <v>0</v>
      </c>
      <c r="G154" s="4" t="s">
        <v>27</v>
      </c>
      <c r="H154" s="4" t="s">
        <v>28</v>
      </c>
      <c r="I154" s="4"/>
      <c r="J154" s="4"/>
      <c r="K154" s="4">
        <v>227</v>
      </c>
      <c r="L154" s="4">
        <v>6</v>
      </c>
      <c r="M154" s="4">
        <v>3</v>
      </c>
      <c r="N154" s="4" t="s">
        <v>3</v>
      </c>
      <c r="O154" s="4">
        <v>2</v>
      </c>
      <c r="P154" s="4"/>
      <c r="Q154" s="4"/>
      <c r="R154" s="4"/>
      <c r="S154" s="4"/>
      <c r="T154" s="4"/>
      <c r="U154" s="4"/>
      <c r="V154" s="4"/>
      <c r="W154" s="4">
        <v>0</v>
      </c>
      <c r="X154" s="4">
        <v>1</v>
      </c>
      <c r="Y154" s="4">
        <v>0</v>
      </c>
      <c r="Z154" s="4"/>
      <c r="AA154" s="4"/>
      <c r="AB154" s="4"/>
    </row>
    <row r="155" spans="1:245" x14ac:dyDescent="0.2">
      <c r="A155" s="4">
        <v>50</v>
      </c>
      <c r="B155" s="4">
        <v>0</v>
      </c>
      <c r="C155" s="4">
        <v>0</v>
      </c>
      <c r="D155" s="4">
        <v>1</v>
      </c>
      <c r="E155" s="4">
        <v>228</v>
      </c>
      <c r="F155" s="4">
        <f>ROUND(Source!AY147,O155)</f>
        <v>30713.68</v>
      </c>
      <c r="G155" s="4" t="s">
        <v>29</v>
      </c>
      <c r="H155" s="4" t="s">
        <v>30</v>
      </c>
      <c r="I155" s="4"/>
      <c r="J155" s="4"/>
      <c r="K155" s="4">
        <v>228</v>
      </c>
      <c r="L155" s="4">
        <v>7</v>
      </c>
      <c r="M155" s="4">
        <v>3</v>
      </c>
      <c r="N155" s="4" t="s">
        <v>3</v>
      </c>
      <c r="O155" s="4">
        <v>2</v>
      </c>
      <c r="P155" s="4"/>
      <c r="Q155" s="4"/>
      <c r="R155" s="4"/>
      <c r="S155" s="4"/>
      <c r="T155" s="4"/>
      <c r="U155" s="4"/>
      <c r="V155" s="4"/>
      <c r="W155" s="4">
        <v>30713.68</v>
      </c>
      <c r="X155" s="4">
        <v>1</v>
      </c>
      <c r="Y155" s="4">
        <v>30713.68</v>
      </c>
      <c r="Z155" s="4"/>
      <c r="AA155" s="4"/>
      <c r="AB155" s="4"/>
    </row>
    <row r="156" spans="1:245" x14ac:dyDescent="0.2">
      <c r="A156" s="4">
        <v>50</v>
      </c>
      <c r="B156" s="4">
        <v>0</v>
      </c>
      <c r="C156" s="4">
        <v>0</v>
      </c>
      <c r="D156" s="4">
        <v>1</v>
      </c>
      <c r="E156" s="4">
        <v>216</v>
      </c>
      <c r="F156" s="4">
        <f>ROUND(Source!AP147,O156)</f>
        <v>0</v>
      </c>
      <c r="G156" s="4" t="s">
        <v>31</v>
      </c>
      <c r="H156" s="4" t="s">
        <v>32</v>
      </c>
      <c r="I156" s="4"/>
      <c r="J156" s="4"/>
      <c r="K156" s="4">
        <v>216</v>
      </c>
      <c r="L156" s="4">
        <v>8</v>
      </c>
      <c r="M156" s="4">
        <v>3</v>
      </c>
      <c r="N156" s="4" t="s">
        <v>3</v>
      </c>
      <c r="O156" s="4">
        <v>2</v>
      </c>
      <c r="P156" s="4"/>
      <c r="Q156" s="4"/>
      <c r="R156" s="4"/>
      <c r="S156" s="4"/>
      <c r="T156" s="4"/>
      <c r="U156" s="4"/>
      <c r="V156" s="4"/>
      <c r="W156" s="4">
        <v>0</v>
      </c>
      <c r="X156" s="4">
        <v>1</v>
      </c>
      <c r="Y156" s="4">
        <v>0</v>
      </c>
      <c r="Z156" s="4"/>
      <c r="AA156" s="4"/>
      <c r="AB156" s="4"/>
    </row>
    <row r="157" spans="1:245" x14ac:dyDescent="0.2">
      <c r="A157" s="4">
        <v>50</v>
      </c>
      <c r="B157" s="4">
        <v>0</v>
      </c>
      <c r="C157" s="4">
        <v>0</v>
      </c>
      <c r="D157" s="4">
        <v>1</v>
      </c>
      <c r="E157" s="4">
        <v>223</v>
      </c>
      <c r="F157" s="4">
        <f>ROUND(Source!AQ147,O157)</f>
        <v>0</v>
      </c>
      <c r="G157" s="4" t="s">
        <v>33</v>
      </c>
      <c r="H157" s="4" t="s">
        <v>34</v>
      </c>
      <c r="I157" s="4"/>
      <c r="J157" s="4"/>
      <c r="K157" s="4">
        <v>223</v>
      </c>
      <c r="L157" s="4">
        <v>9</v>
      </c>
      <c r="M157" s="4">
        <v>3</v>
      </c>
      <c r="N157" s="4" t="s">
        <v>3</v>
      </c>
      <c r="O157" s="4">
        <v>2</v>
      </c>
      <c r="P157" s="4"/>
      <c r="Q157" s="4"/>
      <c r="R157" s="4"/>
      <c r="S157" s="4"/>
      <c r="T157" s="4"/>
      <c r="U157" s="4"/>
      <c r="V157" s="4"/>
      <c r="W157" s="4">
        <v>0</v>
      </c>
      <c r="X157" s="4">
        <v>1</v>
      </c>
      <c r="Y157" s="4">
        <v>0</v>
      </c>
      <c r="Z157" s="4"/>
      <c r="AA157" s="4"/>
      <c r="AB157" s="4"/>
    </row>
    <row r="158" spans="1:245" x14ac:dyDescent="0.2">
      <c r="A158" s="4">
        <v>50</v>
      </c>
      <c r="B158" s="4">
        <v>0</v>
      </c>
      <c r="C158" s="4">
        <v>0</v>
      </c>
      <c r="D158" s="4">
        <v>1</v>
      </c>
      <c r="E158" s="4">
        <v>229</v>
      </c>
      <c r="F158" s="4">
        <f>ROUND(Source!AZ147,O158)</f>
        <v>0</v>
      </c>
      <c r="G158" s="4" t="s">
        <v>35</v>
      </c>
      <c r="H158" s="4" t="s">
        <v>36</v>
      </c>
      <c r="I158" s="4"/>
      <c r="J158" s="4"/>
      <c r="K158" s="4">
        <v>229</v>
      </c>
      <c r="L158" s="4">
        <v>10</v>
      </c>
      <c r="M158" s="4">
        <v>3</v>
      </c>
      <c r="N158" s="4" t="s">
        <v>3</v>
      </c>
      <c r="O158" s="4">
        <v>2</v>
      </c>
      <c r="P158" s="4"/>
      <c r="Q158" s="4"/>
      <c r="R158" s="4"/>
      <c r="S158" s="4"/>
      <c r="T158" s="4"/>
      <c r="U158" s="4"/>
      <c r="V158" s="4"/>
      <c r="W158" s="4">
        <v>0</v>
      </c>
      <c r="X158" s="4">
        <v>1</v>
      </c>
      <c r="Y158" s="4">
        <v>0</v>
      </c>
      <c r="Z158" s="4"/>
      <c r="AA158" s="4"/>
      <c r="AB158" s="4"/>
    </row>
    <row r="159" spans="1:245" x14ac:dyDescent="0.2">
      <c r="A159" s="4">
        <v>50</v>
      </c>
      <c r="B159" s="4">
        <v>0</v>
      </c>
      <c r="C159" s="4">
        <v>0</v>
      </c>
      <c r="D159" s="4">
        <v>1</v>
      </c>
      <c r="E159" s="4">
        <v>203</v>
      </c>
      <c r="F159" s="4">
        <f>ROUND(Source!Q147,O159)</f>
        <v>112012.46</v>
      </c>
      <c r="G159" s="4" t="s">
        <v>37</v>
      </c>
      <c r="H159" s="4" t="s">
        <v>38</v>
      </c>
      <c r="I159" s="4"/>
      <c r="J159" s="4"/>
      <c r="K159" s="4">
        <v>203</v>
      </c>
      <c r="L159" s="4">
        <v>11</v>
      </c>
      <c r="M159" s="4">
        <v>3</v>
      </c>
      <c r="N159" s="4" t="s">
        <v>3</v>
      </c>
      <c r="O159" s="4">
        <v>2</v>
      </c>
      <c r="P159" s="4"/>
      <c r="Q159" s="4"/>
      <c r="R159" s="4"/>
      <c r="S159" s="4"/>
      <c r="T159" s="4"/>
      <c r="U159" s="4"/>
      <c r="V159" s="4"/>
      <c r="W159" s="4">
        <v>112012.45999999999</v>
      </c>
      <c r="X159" s="4">
        <v>1</v>
      </c>
      <c r="Y159" s="4">
        <v>112012.45999999999</v>
      </c>
      <c r="Z159" s="4"/>
      <c r="AA159" s="4"/>
      <c r="AB159" s="4"/>
    </row>
    <row r="160" spans="1:245" x14ac:dyDescent="0.2">
      <c r="A160" s="4">
        <v>50</v>
      </c>
      <c r="B160" s="4">
        <v>0</v>
      </c>
      <c r="C160" s="4">
        <v>0</v>
      </c>
      <c r="D160" s="4">
        <v>1</v>
      </c>
      <c r="E160" s="4">
        <v>231</v>
      </c>
      <c r="F160" s="4">
        <f>ROUND(Source!BB147,O160)</f>
        <v>0</v>
      </c>
      <c r="G160" s="4" t="s">
        <v>39</v>
      </c>
      <c r="H160" s="4" t="s">
        <v>40</v>
      </c>
      <c r="I160" s="4"/>
      <c r="J160" s="4"/>
      <c r="K160" s="4">
        <v>231</v>
      </c>
      <c r="L160" s="4">
        <v>12</v>
      </c>
      <c r="M160" s="4">
        <v>3</v>
      </c>
      <c r="N160" s="4" t="s">
        <v>3</v>
      </c>
      <c r="O160" s="4">
        <v>2</v>
      </c>
      <c r="P160" s="4"/>
      <c r="Q160" s="4"/>
      <c r="R160" s="4"/>
      <c r="S160" s="4"/>
      <c r="T160" s="4"/>
      <c r="U160" s="4"/>
      <c r="V160" s="4"/>
      <c r="W160" s="4">
        <v>0</v>
      </c>
      <c r="X160" s="4">
        <v>1</v>
      </c>
      <c r="Y160" s="4">
        <v>0</v>
      </c>
      <c r="Z160" s="4"/>
      <c r="AA160" s="4"/>
      <c r="AB160" s="4"/>
    </row>
    <row r="161" spans="1:28" x14ac:dyDescent="0.2">
      <c r="A161" s="4">
        <v>50</v>
      </c>
      <c r="B161" s="4">
        <v>0</v>
      </c>
      <c r="C161" s="4">
        <v>0</v>
      </c>
      <c r="D161" s="4">
        <v>1</v>
      </c>
      <c r="E161" s="4">
        <v>204</v>
      </c>
      <c r="F161" s="4">
        <f>ROUND(Source!R147,O161)</f>
        <v>70236.350000000006</v>
      </c>
      <c r="G161" s="4" t="s">
        <v>41</v>
      </c>
      <c r="H161" s="4" t="s">
        <v>42</v>
      </c>
      <c r="I161" s="4"/>
      <c r="J161" s="4"/>
      <c r="K161" s="4">
        <v>204</v>
      </c>
      <c r="L161" s="4">
        <v>13</v>
      </c>
      <c r="M161" s="4">
        <v>3</v>
      </c>
      <c r="N161" s="4" t="s">
        <v>3</v>
      </c>
      <c r="O161" s="4">
        <v>2</v>
      </c>
      <c r="P161" s="4"/>
      <c r="Q161" s="4"/>
      <c r="R161" s="4"/>
      <c r="S161" s="4"/>
      <c r="T161" s="4"/>
      <c r="U161" s="4"/>
      <c r="V161" s="4"/>
      <c r="W161" s="4">
        <v>70236.349999999991</v>
      </c>
      <c r="X161" s="4">
        <v>1</v>
      </c>
      <c r="Y161" s="4">
        <v>70236.349999999991</v>
      </c>
      <c r="Z161" s="4"/>
      <c r="AA161" s="4"/>
      <c r="AB161" s="4"/>
    </row>
    <row r="162" spans="1:28" x14ac:dyDescent="0.2">
      <c r="A162" s="4">
        <v>50</v>
      </c>
      <c r="B162" s="4">
        <v>0</v>
      </c>
      <c r="C162" s="4">
        <v>0</v>
      </c>
      <c r="D162" s="4">
        <v>1</v>
      </c>
      <c r="E162" s="4">
        <v>205</v>
      </c>
      <c r="F162" s="4">
        <f>ROUND(Source!S147,O162)</f>
        <v>327570.65000000002</v>
      </c>
      <c r="G162" s="4" t="s">
        <v>43</v>
      </c>
      <c r="H162" s="4" t="s">
        <v>44</v>
      </c>
      <c r="I162" s="4"/>
      <c r="J162" s="4"/>
      <c r="K162" s="4">
        <v>205</v>
      </c>
      <c r="L162" s="4">
        <v>14</v>
      </c>
      <c r="M162" s="4">
        <v>3</v>
      </c>
      <c r="N162" s="4" t="s">
        <v>3</v>
      </c>
      <c r="O162" s="4">
        <v>2</v>
      </c>
      <c r="P162" s="4"/>
      <c r="Q162" s="4"/>
      <c r="R162" s="4"/>
      <c r="S162" s="4"/>
      <c r="T162" s="4"/>
      <c r="U162" s="4"/>
      <c r="V162" s="4"/>
      <c r="W162" s="4">
        <v>327570.64999999997</v>
      </c>
      <c r="X162" s="4">
        <v>1</v>
      </c>
      <c r="Y162" s="4">
        <v>327570.64999999997</v>
      </c>
      <c r="Z162" s="4"/>
      <c r="AA162" s="4"/>
      <c r="AB162" s="4"/>
    </row>
    <row r="163" spans="1:28" x14ac:dyDescent="0.2">
      <c r="A163" s="4">
        <v>50</v>
      </c>
      <c r="B163" s="4">
        <v>0</v>
      </c>
      <c r="C163" s="4">
        <v>0</v>
      </c>
      <c r="D163" s="4">
        <v>1</v>
      </c>
      <c r="E163" s="4">
        <v>232</v>
      </c>
      <c r="F163" s="4">
        <f>ROUND(Source!BC147,O163)</f>
        <v>0</v>
      </c>
      <c r="G163" s="4" t="s">
        <v>45</v>
      </c>
      <c r="H163" s="4" t="s">
        <v>46</v>
      </c>
      <c r="I163" s="4"/>
      <c r="J163" s="4"/>
      <c r="K163" s="4">
        <v>232</v>
      </c>
      <c r="L163" s="4">
        <v>15</v>
      </c>
      <c r="M163" s="4">
        <v>3</v>
      </c>
      <c r="N163" s="4" t="s">
        <v>3</v>
      </c>
      <c r="O163" s="4">
        <v>2</v>
      </c>
      <c r="P163" s="4"/>
      <c r="Q163" s="4"/>
      <c r="R163" s="4"/>
      <c r="S163" s="4"/>
      <c r="T163" s="4"/>
      <c r="U163" s="4"/>
      <c r="V163" s="4"/>
      <c r="W163" s="4">
        <v>0</v>
      </c>
      <c r="X163" s="4">
        <v>1</v>
      </c>
      <c r="Y163" s="4">
        <v>0</v>
      </c>
      <c r="Z163" s="4"/>
      <c r="AA163" s="4"/>
      <c r="AB163" s="4"/>
    </row>
    <row r="164" spans="1:28" x14ac:dyDescent="0.2">
      <c r="A164" s="4">
        <v>50</v>
      </c>
      <c r="B164" s="4">
        <v>0</v>
      </c>
      <c r="C164" s="4">
        <v>0</v>
      </c>
      <c r="D164" s="4">
        <v>1</v>
      </c>
      <c r="E164" s="4">
        <v>214</v>
      </c>
      <c r="F164" s="4">
        <f>ROUND(Source!AS147,O164)</f>
        <v>0</v>
      </c>
      <c r="G164" s="4" t="s">
        <v>47</v>
      </c>
      <c r="H164" s="4" t="s">
        <v>48</v>
      </c>
      <c r="I164" s="4"/>
      <c r="J164" s="4"/>
      <c r="K164" s="4">
        <v>214</v>
      </c>
      <c r="L164" s="4">
        <v>16</v>
      </c>
      <c r="M164" s="4">
        <v>3</v>
      </c>
      <c r="N164" s="4" t="s">
        <v>3</v>
      </c>
      <c r="O164" s="4">
        <v>2</v>
      </c>
      <c r="P164" s="4"/>
      <c r="Q164" s="4"/>
      <c r="R164" s="4"/>
      <c r="S164" s="4"/>
      <c r="T164" s="4"/>
      <c r="U164" s="4"/>
      <c r="V164" s="4"/>
      <c r="W164" s="4">
        <v>0</v>
      </c>
      <c r="X164" s="4">
        <v>1</v>
      </c>
      <c r="Y164" s="4">
        <v>0</v>
      </c>
      <c r="Z164" s="4"/>
      <c r="AA164" s="4"/>
      <c r="AB164" s="4"/>
    </row>
    <row r="165" spans="1:28" x14ac:dyDescent="0.2">
      <c r="A165" s="4">
        <v>50</v>
      </c>
      <c r="B165" s="4">
        <v>0</v>
      </c>
      <c r="C165" s="4">
        <v>0</v>
      </c>
      <c r="D165" s="4">
        <v>1</v>
      </c>
      <c r="E165" s="4">
        <v>215</v>
      </c>
      <c r="F165" s="4">
        <f>ROUND(Source!AT147,O165)</f>
        <v>1129287.49</v>
      </c>
      <c r="G165" s="4" t="s">
        <v>49</v>
      </c>
      <c r="H165" s="4" t="s">
        <v>50</v>
      </c>
      <c r="I165" s="4"/>
      <c r="J165" s="4"/>
      <c r="K165" s="4">
        <v>215</v>
      </c>
      <c r="L165" s="4">
        <v>17</v>
      </c>
      <c r="M165" s="4">
        <v>3</v>
      </c>
      <c r="N165" s="4" t="s">
        <v>3</v>
      </c>
      <c r="O165" s="4">
        <v>2</v>
      </c>
      <c r="P165" s="4"/>
      <c r="Q165" s="4"/>
      <c r="R165" s="4"/>
      <c r="S165" s="4"/>
      <c r="T165" s="4"/>
      <c r="U165" s="4"/>
      <c r="V165" s="4"/>
      <c r="W165" s="4">
        <v>1129287.49</v>
      </c>
      <c r="X165" s="4">
        <v>1</v>
      </c>
      <c r="Y165" s="4">
        <v>1129287.49</v>
      </c>
      <c r="Z165" s="4"/>
      <c r="AA165" s="4"/>
      <c r="AB165" s="4"/>
    </row>
    <row r="166" spans="1:28" x14ac:dyDescent="0.2">
      <c r="A166" s="4">
        <v>50</v>
      </c>
      <c r="B166" s="4">
        <v>0</v>
      </c>
      <c r="C166" s="4">
        <v>0</v>
      </c>
      <c r="D166" s="4">
        <v>1</v>
      </c>
      <c r="E166" s="4">
        <v>217</v>
      </c>
      <c r="F166" s="4">
        <f>ROUND(Source!AU147,O166)</f>
        <v>0</v>
      </c>
      <c r="G166" s="4" t="s">
        <v>51</v>
      </c>
      <c r="H166" s="4" t="s">
        <v>52</v>
      </c>
      <c r="I166" s="4"/>
      <c r="J166" s="4"/>
      <c r="K166" s="4">
        <v>217</v>
      </c>
      <c r="L166" s="4">
        <v>18</v>
      </c>
      <c r="M166" s="4">
        <v>3</v>
      </c>
      <c r="N166" s="4" t="s">
        <v>3</v>
      </c>
      <c r="O166" s="4">
        <v>2</v>
      </c>
      <c r="P166" s="4"/>
      <c r="Q166" s="4"/>
      <c r="R166" s="4"/>
      <c r="S166" s="4"/>
      <c r="T166" s="4"/>
      <c r="U166" s="4"/>
      <c r="V166" s="4"/>
      <c r="W166" s="4">
        <v>0</v>
      </c>
      <c r="X166" s="4">
        <v>1</v>
      </c>
      <c r="Y166" s="4">
        <v>0</v>
      </c>
      <c r="Z166" s="4"/>
      <c r="AA166" s="4"/>
      <c r="AB166" s="4"/>
    </row>
    <row r="167" spans="1:28" x14ac:dyDescent="0.2">
      <c r="A167" s="4">
        <v>50</v>
      </c>
      <c r="B167" s="4">
        <v>0</v>
      </c>
      <c r="C167" s="4">
        <v>0</v>
      </c>
      <c r="D167" s="4">
        <v>1</v>
      </c>
      <c r="E167" s="4">
        <v>230</v>
      </c>
      <c r="F167" s="4">
        <f>ROUND(Source!BA147,O167)</f>
        <v>0</v>
      </c>
      <c r="G167" s="4" t="s">
        <v>53</v>
      </c>
      <c r="H167" s="4" t="s">
        <v>54</v>
      </c>
      <c r="I167" s="4"/>
      <c r="J167" s="4"/>
      <c r="K167" s="4">
        <v>230</v>
      </c>
      <c r="L167" s="4">
        <v>19</v>
      </c>
      <c r="M167" s="4">
        <v>3</v>
      </c>
      <c r="N167" s="4" t="s">
        <v>3</v>
      </c>
      <c r="O167" s="4">
        <v>2</v>
      </c>
      <c r="P167" s="4"/>
      <c r="Q167" s="4"/>
      <c r="R167" s="4"/>
      <c r="S167" s="4"/>
      <c r="T167" s="4"/>
      <c r="U167" s="4"/>
      <c r="V167" s="4"/>
      <c r="W167" s="4">
        <v>0</v>
      </c>
      <c r="X167" s="4">
        <v>1</v>
      </c>
      <c r="Y167" s="4">
        <v>0</v>
      </c>
      <c r="Z167" s="4"/>
      <c r="AA167" s="4"/>
      <c r="AB167" s="4"/>
    </row>
    <row r="168" spans="1:28" x14ac:dyDescent="0.2">
      <c r="A168" s="4">
        <v>50</v>
      </c>
      <c r="B168" s="4">
        <v>0</v>
      </c>
      <c r="C168" s="4">
        <v>0</v>
      </c>
      <c r="D168" s="4">
        <v>1</v>
      </c>
      <c r="E168" s="4">
        <v>206</v>
      </c>
      <c r="F168" s="4">
        <f>ROUND(Source!T147,O168)</f>
        <v>0</v>
      </c>
      <c r="G168" s="4" t="s">
        <v>55</v>
      </c>
      <c r="H168" s="4" t="s">
        <v>56</v>
      </c>
      <c r="I168" s="4"/>
      <c r="J168" s="4"/>
      <c r="K168" s="4">
        <v>206</v>
      </c>
      <c r="L168" s="4">
        <v>20</v>
      </c>
      <c r="M168" s="4">
        <v>3</v>
      </c>
      <c r="N168" s="4" t="s">
        <v>3</v>
      </c>
      <c r="O168" s="4">
        <v>2</v>
      </c>
      <c r="P168" s="4"/>
      <c r="Q168" s="4"/>
      <c r="R168" s="4"/>
      <c r="S168" s="4"/>
      <c r="T168" s="4"/>
      <c r="U168" s="4"/>
      <c r="V168" s="4"/>
      <c r="W168" s="4">
        <v>0</v>
      </c>
      <c r="X168" s="4">
        <v>1</v>
      </c>
      <c r="Y168" s="4">
        <v>0</v>
      </c>
      <c r="Z168" s="4"/>
      <c r="AA168" s="4"/>
      <c r="AB168" s="4"/>
    </row>
    <row r="169" spans="1:28" x14ac:dyDescent="0.2">
      <c r="A169" s="4">
        <v>50</v>
      </c>
      <c r="B169" s="4">
        <v>0</v>
      </c>
      <c r="C169" s="4">
        <v>0</v>
      </c>
      <c r="D169" s="4">
        <v>1</v>
      </c>
      <c r="E169" s="4">
        <v>207</v>
      </c>
      <c r="F169" s="4">
        <f>ROUND(Source!U147,O169)</f>
        <v>691.98599999999999</v>
      </c>
      <c r="G169" s="4" t="s">
        <v>57</v>
      </c>
      <c r="H169" s="4" t="s">
        <v>58</v>
      </c>
      <c r="I169" s="4"/>
      <c r="J169" s="4"/>
      <c r="K169" s="4">
        <v>207</v>
      </c>
      <c r="L169" s="4">
        <v>21</v>
      </c>
      <c r="M169" s="4">
        <v>3</v>
      </c>
      <c r="N169" s="4" t="s">
        <v>3</v>
      </c>
      <c r="O169" s="4">
        <v>7</v>
      </c>
      <c r="P169" s="4"/>
      <c r="Q169" s="4"/>
      <c r="R169" s="4"/>
      <c r="S169" s="4"/>
      <c r="T169" s="4"/>
      <c r="U169" s="4"/>
      <c r="V169" s="4"/>
      <c r="W169" s="4">
        <v>691.98599999999999</v>
      </c>
      <c r="X169" s="4">
        <v>1</v>
      </c>
      <c r="Y169" s="4">
        <v>691.98599999999999</v>
      </c>
      <c r="Z169" s="4"/>
      <c r="AA169" s="4"/>
      <c r="AB169" s="4"/>
    </row>
    <row r="170" spans="1:28" x14ac:dyDescent="0.2">
      <c r="A170" s="4">
        <v>50</v>
      </c>
      <c r="B170" s="4">
        <v>0</v>
      </c>
      <c r="C170" s="4">
        <v>0</v>
      </c>
      <c r="D170" s="4">
        <v>1</v>
      </c>
      <c r="E170" s="4">
        <v>208</v>
      </c>
      <c r="F170" s="4">
        <f>ROUND(Source!V147,O170)</f>
        <v>131.196</v>
      </c>
      <c r="G170" s="4" t="s">
        <v>59</v>
      </c>
      <c r="H170" s="4" t="s">
        <v>60</v>
      </c>
      <c r="I170" s="4"/>
      <c r="J170" s="4"/>
      <c r="K170" s="4">
        <v>208</v>
      </c>
      <c r="L170" s="4">
        <v>22</v>
      </c>
      <c r="M170" s="4">
        <v>3</v>
      </c>
      <c r="N170" s="4" t="s">
        <v>3</v>
      </c>
      <c r="O170" s="4">
        <v>7</v>
      </c>
      <c r="P170" s="4"/>
      <c r="Q170" s="4"/>
      <c r="R170" s="4"/>
      <c r="S170" s="4"/>
      <c r="T170" s="4"/>
      <c r="U170" s="4"/>
      <c r="V170" s="4"/>
      <c r="W170" s="4">
        <v>131.196</v>
      </c>
      <c r="X170" s="4">
        <v>1</v>
      </c>
      <c r="Y170" s="4">
        <v>131.196</v>
      </c>
      <c r="Z170" s="4"/>
      <c r="AA170" s="4"/>
      <c r="AB170" s="4"/>
    </row>
    <row r="171" spans="1:28" x14ac:dyDescent="0.2">
      <c r="A171" s="4">
        <v>50</v>
      </c>
      <c r="B171" s="4">
        <v>0</v>
      </c>
      <c r="C171" s="4">
        <v>0</v>
      </c>
      <c r="D171" s="4">
        <v>1</v>
      </c>
      <c r="E171" s="4">
        <v>209</v>
      </c>
      <c r="F171" s="4">
        <f>ROUND(Source!W147,O171)</f>
        <v>0</v>
      </c>
      <c r="G171" s="4" t="s">
        <v>61</v>
      </c>
      <c r="H171" s="4" t="s">
        <v>62</v>
      </c>
      <c r="I171" s="4"/>
      <c r="J171" s="4"/>
      <c r="K171" s="4">
        <v>209</v>
      </c>
      <c r="L171" s="4">
        <v>23</v>
      </c>
      <c r="M171" s="4">
        <v>3</v>
      </c>
      <c r="N171" s="4" t="s">
        <v>3</v>
      </c>
      <c r="O171" s="4">
        <v>2</v>
      </c>
      <c r="P171" s="4"/>
      <c r="Q171" s="4"/>
      <c r="R171" s="4"/>
      <c r="S171" s="4"/>
      <c r="T171" s="4"/>
      <c r="U171" s="4"/>
      <c r="V171" s="4"/>
      <c r="W171" s="4">
        <v>0</v>
      </c>
      <c r="X171" s="4">
        <v>1</v>
      </c>
      <c r="Y171" s="4">
        <v>0</v>
      </c>
      <c r="Z171" s="4"/>
      <c r="AA171" s="4"/>
      <c r="AB171" s="4"/>
    </row>
    <row r="172" spans="1:28" x14ac:dyDescent="0.2">
      <c r="A172" s="4">
        <v>50</v>
      </c>
      <c r="B172" s="4">
        <v>0</v>
      </c>
      <c r="C172" s="4">
        <v>0</v>
      </c>
      <c r="D172" s="4">
        <v>1</v>
      </c>
      <c r="E172" s="4">
        <v>233</v>
      </c>
      <c r="F172" s="4">
        <f>ROUND(Source!BD147,O172)</f>
        <v>0</v>
      </c>
      <c r="G172" s="4" t="s">
        <v>63</v>
      </c>
      <c r="H172" s="4" t="s">
        <v>64</v>
      </c>
      <c r="I172" s="4"/>
      <c r="J172" s="4"/>
      <c r="K172" s="4">
        <v>233</v>
      </c>
      <c r="L172" s="4">
        <v>24</v>
      </c>
      <c r="M172" s="4">
        <v>3</v>
      </c>
      <c r="N172" s="4" t="s">
        <v>3</v>
      </c>
      <c r="O172" s="4">
        <v>2</v>
      </c>
      <c r="P172" s="4"/>
      <c r="Q172" s="4"/>
      <c r="R172" s="4"/>
      <c r="S172" s="4"/>
      <c r="T172" s="4"/>
      <c r="U172" s="4"/>
      <c r="V172" s="4"/>
      <c r="W172" s="4">
        <v>0</v>
      </c>
      <c r="X172" s="4">
        <v>1</v>
      </c>
      <c r="Y172" s="4">
        <v>0</v>
      </c>
      <c r="Z172" s="4"/>
      <c r="AA172" s="4"/>
      <c r="AB172" s="4"/>
    </row>
    <row r="173" spans="1:28" x14ac:dyDescent="0.2">
      <c r="A173" s="4">
        <v>50</v>
      </c>
      <c r="B173" s="4">
        <v>0</v>
      </c>
      <c r="C173" s="4">
        <v>0</v>
      </c>
      <c r="D173" s="4">
        <v>1</v>
      </c>
      <c r="E173" s="4">
        <v>210</v>
      </c>
      <c r="F173" s="4">
        <f>ROUND(Source!X147,O173)</f>
        <v>385872.79</v>
      </c>
      <c r="G173" s="4" t="s">
        <v>65</v>
      </c>
      <c r="H173" s="4" t="s">
        <v>66</v>
      </c>
      <c r="I173" s="4"/>
      <c r="J173" s="4"/>
      <c r="K173" s="4">
        <v>210</v>
      </c>
      <c r="L173" s="4">
        <v>25</v>
      </c>
      <c r="M173" s="4">
        <v>3</v>
      </c>
      <c r="N173" s="4" t="s">
        <v>3</v>
      </c>
      <c r="O173" s="4">
        <v>2</v>
      </c>
      <c r="P173" s="4"/>
      <c r="Q173" s="4"/>
      <c r="R173" s="4"/>
      <c r="S173" s="4"/>
      <c r="T173" s="4"/>
      <c r="U173" s="4"/>
      <c r="V173" s="4"/>
      <c r="W173" s="4">
        <v>385872.79</v>
      </c>
      <c r="X173" s="4">
        <v>1</v>
      </c>
      <c r="Y173" s="4">
        <v>385872.79</v>
      </c>
      <c r="Z173" s="4"/>
      <c r="AA173" s="4"/>
      <c r="AB173" s="4"/>
    </row>
    <row r="174" spans="1:28" x14ac:dyDescent="0.2">
      <c r="A174" s="4">
        <v>50</v>
      </c>
      <c r="B174" s="4">
        <v>0</v>
      </c>
      <c r="C174" s="4">
        <v>0</v>
      </c>
      <c r="D174" s="4">
        <v>1</v>
      </c>
      <c r="E174" s="4">
        <v>211</v>
      </c>
      <c r="F174" s="4">
        <f>ROUND(Source!Y147,O174)</f>
        <v>202881.56</v>
      </c>
      <c r="G174" s="4" t="s">
        <v>67</v>
      </c>
      <c r="H174" s="4" t="s">
        <v>68</v>
      </c>
      <c r="I174" s="4"/>
      <c r="J174" s="4"/>
      <c r="K174" s="4">
        <v>211</v>
      </c>
      <c r="L174" s="4">
        <v>26</v>
      </c>
      <c r="M174" s="4">
        <v>3</v>
      </c>
      <c r="N174" s="4" t="s">
        <v>3</v>
      </c>
      <c r="O174" s="4">
        <v>2</v>
      </c>
      <c r="P174" s="4"/>
      <c r="Q174" s="4"/>
      <c r="R174" s="4"/>
      <c r="S174" s="4"/>
      <c r="T174" s="4"/>
      <c r="U174" s="4"/>
      <c r="V174" s="4"/>
      <c r="W174" s="4">
        <v>202881.56</v>
      </c>
      <c r="X174" s="4">
        <v>1</v>
      </c>
      <c r="Y174" s="4">
        <v>202881.56</v>
      </c>
      <c r="Z174" s="4"/>
      <c r="AA174" s="4"/>
      <c r="AB174" s="4"/>
    </row>
    <row r="175" spans="1:28" x14ac:dyDescent="0.2">
      <c r="A175" s="4">
        <v>50</v>
      </c>
      <c r="B175" s="4">
        <v>0</v>
      </c>
      <c r="C175" s="4">
        <v>0</v>
      </c>
      <c r="D175" s="4">
        <v>1</v>
      </c>
      <c r="E175" s="4">
        <v>224</v>
      </c>
      <c r="F175" s="4">
        <f>ROUND(Source!AR147,O175)</f>
        <v>1129287.49</v>
      </c>
      <c r="G175" s="4" t="s">
        <v>69</v>
      </c>
      <c r="H175" s="4" t="s">
        <v>70</v>
      </c>
      <c r="I175" s="4"/>
      <c r="J175" s="4"/>
      <c r="K175" s="4">
        <v>224</v>
      </c>
      <c r="L175" s="4">
        <v>27</v>
      </c>
      <c r="M175" s="4">
        <v>3</v>
      </c>
      <c r="N175" s="4" t="s">
        <v>3</v>
      </c>
      <c r="O175" s="4">
        <v>2</v>
      </c>
      <c r="P175" s="4"/>
      <c r="Q175" s="4"/>
      <c r="R175" s="4"/>
      <c r="S175" s="4"/>
      <c r="T175" s="4"/>
      <c r="U175" s="4"/>
      <c r="V175" s="4"/>
      <c r="W175" s="4">
        <v>1129287.49</v>
      </c>
      <c r="X175" s="4">
        <v>1</v>
      </c>
      <c r="Y175" s="4">
        <v>1129287.49</v>
      </c>
      <c r="Z175" s="4"/>
      <c r="AA175" s="4"/>
      <c r="AB175" s="4"/>
    </row>
    <row r="177" spans="1:245" x14ac:dyDescent="0.2">
      <c r="A177" s="1">
        <v>4</v>
      </c>
      <c r="B177" s="1">
        <v>1</v>
      </c>
      <c r="C177" s="1"/>
      <c r="D177" s="1">
        <f>ROW(A187)</f>
        <v>187</v>
      </c>
      <c r="E177" s="1"/>
      <c r="F177" s="1" t="s">
        <v>72</v>
      </c>
      <c r="G177" s="1" t="s">
        <v>157</v>
      </c>
      <c r="H177" s="1" t="s">
        <v>3</v>
      </c>
      <c r="I177" s="1">
        <v>0</v>
      </c>
      <c r="J177" s="1"/>
      <c r="K177" s="1">
        <v>0</v>
      </c>
      <c r="L177" s="1"/>
      <c r="M177" s="1" t="s">
        <v>3</v>
      </c>
      <c r="N177" s="1"/>
      <c r="O177" s="1"/>
      <c r="P177" s="1"/>
      <c r="Q177" s="1"/>
      <c r="R177" s="1"/>
      <c r="S177" s="1">
        <v>0</v>
      </c>
      <c r="T177" s="1"/>
      <c r="U177" s="1" t="s">
        <v>3</v>
      </c>
      <c r="V177" s="1">
        <v>0</v>
      </c>
      <c r="W177" s="1"/>
      <c r="X177" s="1"/>
      <c r="Y177" s="1"/>
      <c r="Z177" s="1"/>
      <c r="AA177" s="1"/>
      <c r="AB177" s="1" t="s">
        <v>3</v>
      </c>
      <c r="AC177" s="1" t="s">
        <v>3</v>
      </c>
      <c r="AD177" s="1" t="s">
        <v>3</v>
      </c>
      <c r="AE177" s="1" t="s">
        <v>3</v>
      </c>
      <c r="AF177" s="1" t="s">
        <v>3</v>
      </c>
      <c r="AG177" s="1" t="s">
        <v>3</v>
      </c>
      <c r="AH177" s="1"/>
      <c r="AI177" s="1"/>
      <c r="AJ177" s="1"/>
      <c r="AK177" s="1"/>
      <c r="AL177" s="1"/>
      <c r="AM177" s="1"/>
      <c r="AN177" s="1"/>
      <c r="AO177" s="1"/>
      <c r="AP177" s="1" t="s">
        <v>3</v>
      </c>
      <c r="AQ177" s="1" t="s">
        <v>3</v>
      </c>
      <c r="AR177" s="1" t="s">
        <v>3</v>
      </c>
      <c r="AS177" s="1"/>
      <c r="AT177" s="1"/>
      <c r="AU177" s="1"/>
      <c r="AV177" s="1"/>
      <c r="AW177" s="1"/>
      <c r="AX177" s="1"/>
      <c r="AY177" s="1"/>
      <c r="AZ177" s="1" t="s">
        <v>3</v>
      </c>
      <c r="BA177" s="1"/>
      <c r="BB177" s="1" t="s">
        <v>3</v>
      </c>
      <c r="BC177" s="1" t="s">
        <v>3</v>
      </c>
      <c r="BD177" s="1" t="s">
        <v>3</v>
      </c>
      <c r="BE177" s="1" t="s">
        <v>3</v>
      </c>
      <c r="BF177" s="1" t="s">
        <v>3</v>
      </c>
      <c r="BG177" s="1" t="s">
        <v>3</v>
      </c>
      <c r="BH177" s="1" t="s">
        <v>3</v>
      </c>
      <c r="BI177" s="1" t="s">
        <v>3</v>
      </c>
      <c r="BJ177" s="1" t="s">
        <v>3</v>
      </c>
      <c r="BK177" s="1" t="s">
        <v>3</v>
      </c>
      <c r="BL177" s="1" t="s">
        <v>3</v>
      </c>
      <c r="BM177" s="1" t="s">
        <v>3</v>
      </c>
      <c r="BN177" s="1" t="s">
        <v>3</v>
      </c>
      <c r="BO177" s="1" t="s">
        <v>3</v>
      </c>
      <c r="BP177" s="1" t="s">
        <v>3</v>
      </c>
      <c r="BQ177" s="1"/>
      <c r="BR177" s="1"/>
      <c r="BS177" s="1"/>
      <c r="BT177" s="1"/>
      <c r="BU177" s="1"/>
      <c r="BV177" s="1"/>
      <c r="BW177" s="1"/>
      <c r="BX177" s="1">
        <v>0</v>
      </c>
      <c r="BY177" s="1"/>
      <c r="BZ177" s="1"/>
      <c r="CA177" s="1"/>
      <c r="CB177" s="1"/>
      <c r="CC177" s="1"/>
      <c r="CD177" s="1"/>
      <c r="CE177" s="1"/>
      <c r="CF177" s="1"/>
      <c r="CG177" s="1"/>
      <c r="CH177" s="1"/>
      <c r="CI177" s="1"/>
      <c r="CJ177" s="1">
        <v>0</v>
      </c>
    </row>
    <row r="179" spans="1:245" x14ac:dyDescent="0.2">
      <c r="A179" s="2">
        <v>52</v>
      </c>
      <c r="B179" s="2">
        <f t="shared" ref="B179:G179" si="92">B187</f>
        <v>1</v>
      </c>
      <c r="C179" s="2">
        <f t="shared" si="92"/>
        <v>4</v>
      </c>
      <c r="D179" s="2">
        <f t="shared" si="92"/>
        <v>177</v>
      </c>
      <c r="E179" s="2">
        <f t="shared" si="92"/>
        <v>0</v>
      </c>
      <c r="F179" s="2" t="str">
        <f t="shared" si="92"/>
        <v>Новый раздел</v>
      </c>
      <c r="G179" s="2" t="str">
        <f t="shared" si="92"/>
        <v>Материалы не учтенные ценником</v>
      </c>
      <c r="H179" s="2"/>
      <c r="I179" s="2"/>
      <c r="J179" s="2"/>
      <c r="K179" s="2"/>
      <c r="L179" s="2"/>
      <c r="M179" s="2"/>
      <c r="N179" s="2"/>
      <c r="O179" s="2">
        <f t="shared" ref="O179:AT179" si="93">O187</f>
        <v>5438892.29</v>
      </c>
      <c r="P179" s="2">
        <f t="shared" si="93"/>
        <v>5438892.29</v>
      </c>
      <c r="Q179" s="2">
        <f t="shared" si="93"/>
        <v>0</v>
      </c>
      <c r="R179" s="2">
        <f t="shared" si="93"/>
        <v>0</v>
      </c>
      <c r="S179" s="2">
        <f t="shared" si="93"/>
        <v>0</v>
      </c>
      <c r="T179" s="2">
        <f t="shared" si="93"/>
        <v>0</v>
      </c>
      <c r="U179" s="2">
        <f t="shared" si="93"/>
        <v>0</v>
      </c>
      <c r="V179" s="2">
        <f t="shared" si="93"/>
        <v>0</v>
      </c>
      <c r="W179" s="2">
        <f t="shared" si="93"/>
        <v>0</v>
      </c>
      <c r="X179" s="2">
        <f t="shared" si="93"/>
        <v>0</v>
      </c>
      <c r="Y179" s="2">
        <f t="shared" si="93"/>
        <v>0</v>
      </c>
      <c r="Z179" s="2">
        <f t="shared" si="93"/>
        <v>0</v>
      </c>
      <c r="AA179" s="2">
        <f t="shared" si="93"/>
        <v>0</v>
      </c>
      <c r="AB179" s="2">
        <f t="shared" si="93"/>
        <v>5438892.29</v>
      </c>
      <c r="AC179" s="2">
        <f t="shared" si="93"/>
        <v>5438892.29</v>
      </c>
      <c r="AD179" s="2">
        <f t="shared" si="93"/>
        <v>0</v>
      </c>
      <c r="AE179" s="2">
        <f t="shared" si="93"/>
        <v>0</v>
      </c>
      <c r="AF179" s="2">
        <f t="shared" si="93"/>
        <v>0</v>
      </c>
      <c r="AG179" s="2">
        <f t="shared" si="93"/>
        <v>0</v>
      </c>
      <c r="AH179" s="2">
        <f t="shared" si="93"/>
        <v>0</v>
      </c>
      <c r="AI179" s="2">
        <f t="shared" si="93"/>
        <v>0</v>
      </c>
      <c r="AJ179" s="2">
        <f t="shared" si="93"/>
        <v>0</v>
      </c>
      <c r="AK179" s="2">
        <f t="shared" si="93"/>
        <v>0</v>
      </c>
      <c r="AL179" s="2">
        <f t="shared" si="93"/>
        <v>0</v>
      </c>
      <c r="AM179" s="2">
        <f t="shared" si="93"/>
        <v>0</v>
      </c>
      <c r="AN179" s="2">
        <f t="shared" si="93"/>
        <v>0</v>
      </c>
      <c r="AO179" s="2">
        <f t="shared" si="93"/>
        <v>0</v>
      </c>
      <c r="AP179" s="2">
        <f t="shared" si="93"/>
        <v>0</v>
      </c>
      <c r="AQ179" s="2">
        <f t="shared" si="93"/>
        <v>0</v>
      </c>
      <c r="AR179" s="2">
        <f t="shared" si="93"/>
        <v>5438892.29</v>
      </c>
      <c r="AS179" s="2">
        <f t="shared" si="93"/>
        <v>175386.82</v>
      </c>
      <c r="AT179" s="2">
        <f t="shared" si="93"/>
        <v>5263505.47</v>
      </c>
      <c r="AU179" s="2">
        <f t="shared" ref="AU179:BZ179" si="94">AU187</f>
        <v>0</v>
      </c>
      <c r="AV179" s="2">
        <f t="shared" si="94"/>
        <v>5438892.29</v>
      </c>
      <c r="AW179" s="2">
        <f t="shared" si="94"/>
        <v>5438892.29</v>
      </c>
      <c r="AX179" s="2">
        <f t="shared" si="94"/>
        <v>0</v>
      </c>
      <c r="AY179" s="2">
        <f t="shared" si="94"/>
        <v>5438892.29</v>
      </c>
      <c r="AZ179" s="2">
        <f t="shared" si="94"/>
        <v>0</v>
      </c>
      <c r="BA179" s="2">
        <f t="shared" si="94"/>
        <v>0</v>
      </c>
      <c r="BB179" s="2">
        <f t="shared" si="94"/>
        <v>0</v>
      </c>
      <c r="BC179" s="2">
        <f t="shared" si="94"/>
        <v>0</v>
      </c>
      <c r="BD179" s="2">
        <f t="shared" si="94"/>
        <v>0</v>
      </c>
      <c r="BE179" s="2">
        <f t="shared" si="94"/>
        <v>0</v>
      </c>
      <c r="BF179" s="2">
        <f t="shared" si="94"/>
        <v>0</v>
      </c>
      <c r="BG179" s="2">
        <f t="shared" si="94"/>
        <v>0</v>
      </c>
      <c r="BH179" s="2">
        <f t="shared" si="94"/>
        <v>0</v>
      </c>
      <c r="BI179" s="2">
        <f t="shared" si="94"/>
        <v>0</v>
      </c>
      <c r="BJ179" s="2">
        <f t="shared" si="94"/>
        <v>0</v>
      </c>
      <c r="BK179" s="2">
        <f t="shared" si="94"/>
        <v>0</v>
      </c>
      <c r="BL179" s="2">
        <f t="shared" si="94"/>
        <v>0</v>
      </c>
      <c r="BM179" s="2">
        <f t="shared" si="94"/>
        <v>0</v>
      </c>
      <c r="BN179" s="2">
        <f t="shared" si="94"/>
        <v>0</v>
      </c>
      <c r="BO179" s="2">
        <f t="shared" si="94"/>
        <v>0</v>
      </c>
      <c r="BP179" s="2">
        <f t="shared" si="94"/>
        <v>0</v>
      </c>
      <c r="BQ179" s="2">
        <f t="shared" si="94"/>
        <v>0</v>
      </c>
      <c r="BR179" s="2">
        <f t="shared" si="94"/>
        <v>0</v>
      </c>
      <c r="BS179" s="2">
        <f t="shared" si="94"/>
        <v>0</v>
      </c>
      <c r="BT179" s="2">
        <f t="shared" si="94"/>
        <v>0</v>
      </c>
      <c r="BU179" s="2">
        <f t="shared" si="94"/>
        <v>0</v>
      </c>
      <c r="BV179" s="2">
        <f t="shared" si="94"/>
        <v>0</v>
      </c>
      <c r="BW179" s="2">
        <f t="shared" si="94"/>
        <v>0</v>
      </c>
      <c r="BX179" s="2">
        <f t="shared" si="94"/>
        <v>0</v>
      </c>
      <c r="BY179" s="2">
        <f t="shared" si="94"/>
        <v>0</v>
      </c>
      <c r="BZ179" s="2">
        <f t="shared" si="94"/>
        <v>0</v>
      </c>
      <c r="CA179" s="2">
        <f t="shared" ref="CA179:DF179" si="95">CA187</f>
        <v>5438892.29</v>
      </c>
      <c r="CB179" s="2">
        <f t="shared" si="95"/>
        <v>175386.82</v>
      </c>
      <c r="CC179" s="2">
        <f t="shared" si="95"/>
        <v>5263505.47</v>
      </c>
      <c r="CD179" s="2">
        <f t="shared" si="95"/>
        <v>0</v>
      </c>
      <c r="CE179" s="2">
        <f t="shared" si="95"/>
        <v>5438892.29</v>
      </c>
      <c r="CF179" s="2">
        <f t="shared" si="95"/>
        <v>5438892.29</v>
      </c>
      <c r="CG179" s="2">
        <f t="shared" si="95"/>
        <v>0</v>
      </c>
      <c r="CH179" s="2">
        <f t="shared" si="95"/>
        <v>5438892.29</v>
      </c>
      <c r="CI179" s="2">
        <f t="shared" si="95"/>
        <v>0</v>
      </c>
      <c r="CJ179" s="2">
        <f t="shared" si="95"/>
        <v>0</v>
      </c>
      <c r="CK179" s="2">
        <f t="shared" si="95"/>
        <v>0</v>
      </c>
      <c r="CL179" s="2">
        <f t="shared" si="95"/>
        <v>0</v>
      </c>
      <c r="CM179" s="2">
        <f t="shared" si="95"/>
        <v>0</v>
      </c>
      <c r="CN179" s="2">
        <f t="shared" si="95"/>
        <v>0</v>
      </c>
      <c r="CO179" s="2">
        <f t="shared" si="95"/>
        <v>0</v>
      </c>
      <c r="CP179" s="2">
        <f t="shared" si="95"/>
        <v>0</v>
      </c>
      <c r="CQ179" s="2">
        <f t="shared" si="95"/>
        <v>0</v>
      </c>
      <c r="CR179" s="2">
        <f t="shared" si="95"/>
        <v>0</v>
      </c>
      <c r="CS179" s="2">
        <f t="shared" si="95"/>
        <v>0</v>
      </c>
      <c r="CT179" s="2">
        <f t="shared" si="95"/>
        <v>0</v>
      </c>
      <c r="CU179" s="2">
        <f t="shared" si="95"/>
        <v>0</v>
      </c>
      <c r="CV179" s="2">
        <f t="shared" si="95"/>
        <v>0</v>
      </c>
      <c r="CW179" s="2">
        <f t="shared" si="95"/>
        <v>0</v>
      </c>
      <c r="CX179" s="2">
        <f t="shared" si="95"/>
        <v>0</v>
      </c>
      <c r="CY179" s="2">
        <f t="shared" si="95"/>
        <v>0</v>
      </c>
      <c r="CZ179" s="2">
        <f t="shared" si="95"/>
        <v>0</v>
      </c>
      <c r="DA179" s="2">
        <f t="shared" si="95"/>
        <v>0</v>
      </c>
      <c r="DB179" s="2">
        <f t="shared" si="95"/>
        <v>0</v>
      </c>
      <c r="DC179" s="2">
        <f t="shared" si="95"/>
        <v>0</v>
      </c>
      <c r="DD179" s="2">
        <f t="shared" si="95"/>
        <v>0</v>
      </c>
      <c r="DE179" s="2">
        <f t="shared" si="95"/>
        <v>0</v>
      </c>
      <c r="DF179" s="2">
        <f t="shared" si="95"/>
        <v>0</v>
      </c>
      <c r="DG179" s="3">
        <f t="shared" ref="DG179:EL179" si="96">DG187</f>
        <v>0</v>
      </c>
      <c r="DH179" s="3">
        <f t="shared" si="96"/>
        <v>0</v>
      </c>
      <c r="DI179" s="3">
        <f t="shared" si="96"/>
        <v>0</v>
      </c>
      <c r="DJ179" s="3">
        <f t="shared" si="96"/>
        <v>0</v>
      </c>
      <c r="DK179" s="3">
        <f t="shared" si="96"/>
        <v>0</v>
      </c>
      <c r="DL179" s="3">
        <f t="shared" si="96"/>
        <v>0</v>
      </c>
      <c r="DM179" s="3">
        <f t="shared" si="96"/>
        <v>0</v>
      </c>
      <c r="DN179" s="3">
        <f t="shared" si="96"/>
        <v>0</v>
      </c>
      <c r="DO179" s="3">
        <f t="shared" si="96"/>
        <v>0</v>
      </c>
      <c r="DP179" s="3">
        <f t="shared" si="96"/>
        <v>0</v>
      </c>
      <c r="DQ179" s="3">
        <f t="shared" si="96"/>
        <v>0</v>
      </c>
      <c r="DR179" s="3">
        <f t="shared" si="96"/>
        <v>0</v>
      </c>
      <c r="DS179" s="3">
        <f t="shared" si="96"/>
        <v>0</v>
      </c>
      <c r="DT179" s="3">
        <f t="shared" si="96"/>
        <v>0</v>
      </c>
      <c r="DU179" s="3">
        <f t="shared" si="96"/>
        <v>0</v>
      </c>
      <c r="DV179" s="3">
        <f t="shared" si="96"/>
        <v>0</v>
      </c>
      <c r="DW179" s="3">
        <f t="shared" si="96"/>
        <v>0</v>
      </c>
      <c r="DX179" s="3">
        <f t="shared" si="96"/>
        <v>0</v>
      </c>
      <c r="DY179" s="3">
        <f t="shared" si="96"/>
        <v>0</v>
      </c>
      <c r="DZ179" s="3">
        <f t="shared" si="96"/>
        <v>0</v>
      </c>
      <c r="EA179" s="3">
        <f t="shared" si="96"/>
        <v>0</v>
      </c>
      <c r="EB179" s="3">
        <f t="shared" si="96"/>
        <v>0</v>
      </c>
      <c r="EC179" s="3">
        <f t="shared" si="96"/>
        <v>0</v>
      </c>
      <c r="ED179" s="3">
        <f t="shared" si="96"/>
        <v>0</v>
      </c>
      <c r="EE179" s="3">
        <f t="shared" si="96"/>
        <v>0</v>
      </c>
      <c r="EF179" s="3">
        <f t="shared" si="96"/>
        <v>0</v>
      </c>
      <c r="EG179" s="3">
        <f t="shared" si="96"/>
        <v>0</v>
      </c>
      <c r="EH179" s="3">
        <f t="shared" si="96"/>
        <v>0</v>
      </c>
      <c r="EI179" s="3">
        <f t="shared" si="96"/>
        <v>0</v>
      </c>
      <c r="EJ179" s="3">
        <f t="shared" si="96"/>
        <v>0</v>
      </c>
      <c r="EK179" s="3">
        <f t="shared" si="96"/>
        <v>0</v>
      </c>
      <c r="EL179" s="3">
        <f t="shared" si="96"/>
        <v>0</v>
      </c>
      <c r="EM179" s="3">
        <f t="shared" ref="EM179:FR179" si="97">EM187</f>
        <v>0</v>
      </c>
      <c r="EN179" s="3">
        <f t="shared" si="97"/>
        <v>0</v>
      </c>
      <c r="EO179" s="3">
        <f t="shared" si="97"/>
        <v>0</v>
      </c>
      <c r="EP179" s="3">
        <f t="shared" si="97"/>
        <v>0</v>
      </c>
      <c r="EQ179" s="3">
        <f t="shared" si="97"/>
        <v>0</v>
      </c>
      <c r="ER179" s="3">
        <f t="shared" si="97"/>
        <v>0</v>
      </c>
      <c r="ES179" s="3">
        <f t="shared" si="97"/>
        <v>0</v>
      </c>
      <c r="ET179" s="3">
        <f t="shared" si="97"/>
        <v>0</v>
      </c>
      <c r="EU179" s="3">
        <f t="shared" si="97"/>
        <v>0</v>
      </c>
      <c r="EV179" s="3">
        <f t="shared" si="97"/>
        <v>0</v>
      </c>
      <c r="EW179" s="3">
        <f t="shared" si="97"/>
        <v>0</v>
      </c>
      <c r="EX179" s="3">
        <f t="shared" si="97"/>
        <v>0</v>
      </c>
      <c r="EY179" s="3">
        <f t="shared" si="97"/>
        <v>0</v>
      </c>
      <c r="EZ179" s="3">
        <f t="shared" si="97"/>
        <v>0</v>
      </c>
      <c r="FA179" s="3">
        <f t="shared" si="97"/>
        <v>0</v>
      </c>
      <c r="FB179" s="3">
        <f t="shared" si="97"/>
        <v>0</v>
      </c>
      <c r="FC179" s="3">
        <f t="shared" si="97"/>
        <v>0</v>
      </c>
      <c r="FD179" s="3">
        <f t="shared" si="97"/>
        <v>0</v>
      </c>
      <c r="FE179" s="3">
        <f t="shared" si="97"/>
        <v>0</v>
      </c>
      <c r="FF179" s="3">
        <f t="shared" si="97"/>
        <v>0</v>
      </c>
      <c r="FG179" s="3">
        <f t="shared" si="97"/>
        <v>0</v>
      </c>
      <c r="FH179" s="3">
        <f t="shared" si="97"/>
        <v>0</v>
      </c>
      <c r="FI179" s="3">
        <f t="shared" si="97"/>
        <v>0</v>
      </c>
      <c r="FJ179" s="3">
        <f t="shared" si="97"/>
        <v>0</v>
      </c>
      <c r="FK179" s="3">
        <f t="shared" si="97"/>
        <v>0</v>
      </c>
      <c r="FL179" s="3">
        <f t="shared" si="97"/>
        <v>0</v>
      </c>
      <c r="FM179" s="3">
        <f t="shared" si="97"/>
        <v>0</v>
      </c>
      <c r="FN179" s="3">
        <f t="shared" si="97"/>
        <v>0</v>
      </c>
      <c r="FO179" s="3">
        <f t="shared" si="97"/>
        <v>0</v>
      </c>
      <c r="FP179" s="3">
        <f t="shared" si="97"/>
        <v>0</v>
      </c>
      <c r="FQ179" s="3">
        <f t="shared" si="97"/>
        <v>0</v>
      </c>
      <c r="FR179" s="3">
        <f t="shared" si="97"/>
        <v>0</v>
      </c>
      <c r="FS179" s="3">
        <f t="shared" ref="FS179:GX179" si="98">FS187</f>
        <v>0</v>
      </c>
      <c r="FT179" s="3">
        <f t="shared" si="98"/>
        <v>0</v>
      </c>
      <c r="FU179" s="3">
        <f t="shared" si="98"/>
        <v>0</v>
      </c>
      <c r="FV179" s="3">
        <f t="shared" si="98"/>
        <v>0</v>
      </c>
      <c r="FW179" s="3">
        <f t="shared" si="98"/>
        <v>0</v>
      </c>
      <c r="FX179" s="3">
        <f t="shared" si="98"/>
        <v>0</v>
      </c>
      <c r="FY179" s="3">
        <f t="shared" si="98"/>
        <v>0</v>
      </c>
      <c r="FZ179" s="3">
        <f t="shared" si="98"/>
        <v>0</v>
      </c>
      <c r="GA179" s="3">
        <f t="shared" si="98"/>
        <v>0</v>
      </c>
      <c r="GB179" s="3">
        <f t="shared" si="98"/>
        <v>0</v>
      </c>
      <c r="GC179" s="3">
        <f t="shared" si="98"/>
        <v>0</v>
      </c>
      <c r="GD179" s="3">
        <f t="shared" si="98"/>
        <v>0</v>
      </c>
      <c r="GE179" s="3">
        <f t="shared" si="98"/>
        <v>0</v>
      </c>
      <c r="GF179" s="3">
        <f t="shared" si="98"/>
        <v>0</v>
      </c>
      <c r="GG179" s="3">
        <f t="shared" si="98"/>
        <v>0</v>
      </c>
      <c r="GH179" s="3">
        <f t="shared" si="98"/>
        <v>0</v>
      </c>
      <c r="GI179" s="3">
        <f t="shared" si="98"/>
        <v>0</v>
      </c>
      <c r="GJ179" s="3">
        <f t="shared" si="98"/>
        <v>0</v>
      </c>
      <c r="GK179" s="3">
        <f t="shared" si="98"/>
        <v>0</v>
      </c>
      <c r="GL179" s="3">
        <f t="shared" si="98"/>
        <v>0</v>
      </c>
      <c r="GM179" s="3">
        <f t="shared" si="98"/>
        <v>0</v>
      </c>
      <c r="GN179" s="3">
        <f t="shared" si="98"/>
        <v>0</v>
      </c>
      <c r="GO179" s="3">
        <f t="shared" si="98"/>
        <v>0</v>
      </c>
      <c r="GP179" s="3">
        <f t="shared" si="98"/>
        <v>0</v>
      </c>
      <c r="GQ179" s="3">
        <f t="shared" si="98"/>
        <v>0</v>
      </c>
      <c r="GR179" s="3">
        <f t="shared" si="98"/>
        <v>0</v>
      </c>
      <c r="GS179" s="3">
        <f t="shared" si="98"/>
        <v>0</v>
      </c>
      <c r="GT179" s="3">
        <f t="shared" si="98"/>
        <v>0</v>
      </c>
      <c r="GU179" s="3">
        <f t="shared" si="98"/>
        <v>0</v>
      </c>
      <c r="GV179" s="3">
        <f t="shared" si="98"/>
        <v>0</v>
      </c>
      <c r="GW179" s="3">
        <f t="shared" si="98"/>
        <v>0</v>
      </c>
      <c r="GX179" s="3">
        <f t="shared" si="98"/>
        <v>0</v>
      </c>
    </row>
    <row r="181" spans="1:245" x14ac:dyDescent="0.2">
      <c r="A181">
        <v>17</v>
      </c>
      <c r="B181">
        <v>1</v>
      </c>
      <c r="E181" t="s">
        <v>158</v>
      </c>
      <c r="F181" t="s">
        <v>159</v>
      </c>
      <c r="G181" t="s">
        <v>160</v>
      </c>
      <c r="H181" t="s">
        <v>161</v>
      </c>
      <c r="I181">
        <f>ROUND(2692.8/1000,7)</f>
        <v>2.6928000000000001</v>
      </c>
      <c r="J181">
        <v>0</v>
      </c>
      <c r="K181">
        <f>ROUND(2692.8/1000,7)</f>
        <v>2.6928000000000001</v>
      </c>
      <c r="O181">
        <f>ROUND(CP181,2)</f>
        <v>4821657.6399999997</v>
      </c>
      <c r="P181">
        <f>ROUND(CQ181*I181,2)</f>
        <v>4821657.6399999997</v>
      </c>
      <c r="Q181">
        <f>ROUND(CR181*I181,2)</f>
        <v>0</v>
      </c>
      <c r="R181">
        <f>ROUND(CS181*I181,2)</f>
        <v>0</v>
      </c>
      <c r="S181">
        <f>ROUND(CT181*I181,2)</f>
        <v>0</v>
      </c>
      <c r="T181">
        <f>ROUND(CU181*I181,2)</f>
        <v>0</v>
      </c>
      <c r="U181">
        <f>ROUND(CV181*I181,7)</f>
        <v>0</v>
      </c>
      <c r="V181">
        <f>ROUND(CW181*I181,7)</f>
        <v>0</v>
      </c>
      <c r="W181">
        <f>ROUND(CX181*I181,2)</f>
        <v>0</v>
      </c>
      <c r="X181">
        <f t="shared" ref="X181:Y185" si="99">ROUND(CY181,2)</f>
        <v>0</v>
      </c>
      <c r="Y181">
        <f t="shared" si="99"/>
        <v>0</v>
      </c>
      <c r="AA181">
        <v>65174513</v>
      </c>
      <c r="AB181">
        <f>ROUND((AC181+AD181+AF181),6)</f>
        <v>1162710.3799999999</v>
      </c>
      <c r="AC181">
        <f>ROUND((ES181),6)</f>
        <v>1162710.3799999999</v>
      </c>
      <c r="AD181">
        <f>ROUND((((ET181)-(EU181))+AE181),6)</f>
        <v>0</v>
      </c>
      <c r="AE181">
        <f t="shared" ref="AE181:AF185" si="100">ROUND((EU181),6)</f>
        <v>0</v>
      </c>
      <c r="AF181">
        <f t="shared" si="100"/>
        <v>0</v>
      </c>
      <c r="AG181">
        <f>ROUND((AP181),6)</f>
        <v>0</v>
      </c>
      <c r="AH181">
        <f t="shared" ref="AH181:AI185" si="101">(EW181)</f>
        <v>0</v>
      </c>
      <c r="AI181">
        <f t="shared" si="101"/>
        <v>0</v>
      </c>
      <c r="AJ181">
        <f>(AS181)</f>
        <v>0</v>
      </c>
      <c r="AK181">
        <v>1162710.3799999999</v>
      </c>
      <c r="AL181">
        <v>1162710.3799999999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1</v>
      </c>
      <c r="AW181">
        <v>1</v>
      </c>
      <c r="AZ181">
        <v>1</v>
      </c>
      <c r="BA181">
        <v>1</v>
      </c>
      <c r="BB181">
        <v>1</v>
      </c>
      <c r="BC181">
        <v>1.54</v>
      </c>
      <c r="BD181" t="s">
        <v>3</v>
      </c>
      <c r="BE181" t="s">
        <v>3</v>
      </c>
      <c r="BF181" t="s">
        <v>3</v>
      </c>
      <c r="BG181" t="s">
        <v>3</v>
      </c>
      <c r="BH181">
        <v>3</v>
      </c>
      <c r="BI181">
        <v>2</v>
      </c>
      <c r="BJ181" t="s">
        <v>162</v>
      </c>
      <c r="BM181">
        <v>500002</v>
      </c>
      <c r="BN181">
        <v>0</v>
      </c>
      <c r="BO181" t="s">
        <v>159</v>
      </c>
      <c r="BP181">
        <v>1</v>
      </c>
      <c r="BQ181">
        <v>12</v>
      </c>
      <c r="BR181">
        <v>0</v>
      </c>
      <c r="BS181">
        <v>1</v>
      </c>
      <c r="BT181">
        <v>1</v>
      </c>
      <c r="BU181">
        <v>1</v>
      </c>
      <c r="BV181">
        <v>1</v>
      </c>
      <c r="BW181">
        <v>1</v>
      </c>
      <c r="BX181">
        <v>1</v>
      </c>
      <c r="BY181" t="s">
        <v>3</v>
      </c>
      <c r="BZ181">
        <v>0</v>
      </c>
      <c r="CA181">
        <v>0</v>
      </c>
      <c r="CB181" t="s">
        <v>3</v>
      </c>
      <c r="CE181">
        <v>0</v>
      </c>
      <c r="CF181">
        <v>0</v>
      </c>
      <c r="CG181">
        <v>0</v>
      </c>
      <c r="CM181">
        <v>0</v>
      </c>
      <c r="CN181" t="s">
        <v>3</v>
      </c>
      <c r="CO181">
        <v>0</v>
      </c>
      <c r="CP181">
        <f>(P181+Q181+S181+R181)</f>
        <v>4821657.6399999997</v>
      </c>
      <c r="CQ181">
        <f>ROUND(AL181*BC181,2)</f>
        <v>1790573.99</v>
      </c>
      <c r="CR181">
        <f>ROUND(AM181*BB181,2)</f>
        <v>0</v>
      </c>
      <c r="CS181">
        <f>ROUND(AN181*BS181,2)</f>
        <v>0</v>
      </c>
      <c r="CT181">
        <f>ROUND(AO181*BA181,2)</f>
        <v>0</v>
      </c>
      <c r="CU181">
        <f t="shared" ref="CU181:CX185" si="102">AG181</f>
        <v>0</v>
      </c>
      <c r="CV181">
        <f t="shared" si="102"/>
        <v>0</v>
      </c>
      <c r="CW181">
        <f t="shared" si="102"/>
        <v>0</v>
      </c>
      <c r="CX181">
        <f t="shared" si="102"/>
        <v>0</v>
      </c>
      <c r="CY181">
        <f>0</f>
        <v>0</v>
      </c>
      <c r="CZ181">
        <f>0</f>
        <v>0</v>
      </c>
      <c r="DC181" t="s">
        <v>3</v>
      </c>
      <c r="DD181" t="s">
        <v>3</v>
      </c>
      <c r="DE181" t="s">
        <v>3</v>
      </c>
      <c r="DF181" t="s">
        <v>3</v>
      </c>
      <c r="DG181" t="s">
        <v>3</v>
      </c>
      <c r="DH181" t="s">
        <v>3</v>
      </c>
      <c r="DI181" t="s">
        <v>3</v>
      </c>
      <c r="DJ181" t="s">
        <v>3</v>
      </c>
      <c r="DK181" t="s">
        <v>3</v>
      </c>
      <c r="DL181" t="s">
        <v>3</v>
      </c>
      <c r="DM181" t="s">
        <v>3</v>
      </c>
      <c r="DN181">
        <v>0</v>
      </c>
      <c r="DO181">
        <v>0</v>
      </c>
      <c r="DP181">
        <v>1</v>
      </c>
      <c r="DQ181">
        <v>1</v>
      </c>
      <c r="DU181">
        <v>1013</v>
      </c>
      <c r="DV181" t="s">
        <v>161</v>
      </c>
      <c r="DW181" t="s">
        <v>163</v>
      </c>
      <c r="DX181">
        <v>1</v>
      </c>
      <c r="DZ181" t="s">
        <v>3</v>
      </c>
      <c r="EA181" t="s">
        <v>3</v>
      </c>
      <c r="EB181" t="s">
        <v>3</v>
      </c>
      <c r="EC181" t="s">
        <v>3</v>
      </c>
      <c r="EE181">
        <v>64850936</v>
      </c>
      <c r="EF181">
        <v>12</v>
      </c>
      <c r="EG181" t="s">
        <v>164</v>
      </c>
      <c r="EH181">
        <v>0</v>
      </c>
      <c r="EI181" t="s">
        <v>3</v>
      </c>
      <c r="EJ181">
        <v>2</v>
      </c>
      <c r="EK181">
        <v>500002</v>
      </c>
      <c r="EL181" t="s">
        <v>165</v>
      </c>
      <c r="EM181" t="s">
        <v>166</v>
      </c>
      <c r="EO181" t="s">
        <v>3</v>
      </c>
      <c r="EQ181">
        <v>0</v>
      </c>
      <c r="ER181">
        <v>1162710.3799999999</v>
      </c>
      <c r="ES181">
        <v>1162710.3799999999</v>
      </c>
      <c r="ET181">
        <v>0</v>
      </c>
      <c r="EU181">
        <v>0</v>
      </c>
      <c r="EV181">
        <v>0</v>
      </c>
      <c r="EW181">
        <v>0</v>
      </c>
      <c r="EX181">
        <v>0</v>
      </c>
      <c r="EY181">
        <v>0</v>
      </c>
      <c r="FQ181">
        <v>0</v>
      </c>
      <c r="FR181">
        <f>ROUND(IF(BI181=3,GM181,0),2)</f>
        <v>0</v>
      </c>
      <c r="FS181">
        <v>0</v>
      </c>
      <c r="FX181">
        <v>0</v>
      </c>
      <c r="FY181">
        <v>0</v>
      </c>
      <c r="GA181" t="s">
        <v>3</v>
      </c>
      <c r="GD181">
        <v>1</v>
      </c>
      <c r="GF181">
        <v>650613390</v>
      </c>
      <c r="GG181">
        <v>2</v>
      </c>
      <c r="GH181">
        <v>1</v>
      </c>
      <c r="GI181">
        <v>2</v>
      </c>
      <c r="GJ181">
        <v>0</v>
      </c>
      <c r="GK181">
        <v>0</v>
      </c>
      <c r="GL181">
        <f>ROUND(IF(AND(BH181=3,BI181=3,FS181&lt;&gt;0),P181,0),2)</f>
        <v>0</v>
      </c>
      <c r="GM181">
        <f>ROUND(O181+X181+Y181,2)+GX181</f>
        <v>4821657.6399999997</v>
      </c>
      <c r="GN181">
        <f>IF(OR(BI181=0,BI181=1),GM181-GX181,0)</f>
        <v>0</v>
      </c>
      <c r="GO181">
        <f>IF(BI181=2,GM181-GX181,0)</f>
        <v>4821657.6399999997</v>
      </c>
      <c r="GP181">
        <f>IF(BI181=4,GM181-GX181,0)</f>
        <v>0</v>
      </c>
      <c r="GR181">
        <v>0</v>
      </c>
      <c r="GS181">
        <v>0</v>
      </c>
      <c r="GT181">
        <v>0</v>
      </c>
      <c r="GU181" t="s">
        <v>3</v>
      </c>
      <c r="GV181">
        <f>ROUND((GT181),6)</f>
        <v>0</v>
      </c>
      <c r="GW181">
        <v>1</v>
      </c>
      <c r="GX181">
        <f>ROUND(HC181*I181,2)</f>
        <v>0</v>
      </c>
      <c r="HA181">
        <v>0</v>
      </c>
      <c r="HB181">
        <v>0</v>
      </c>
      <c r="HC181">
        <f>GV181*GW181</f>
        <v>0</v>
      </c>
      <c r="HE181" t="s">
        <v>3</v>
      </c>
      <c r="HF181" t="s">
        <v>3</v>
      </c>
      <c r="HM181" t="s">
        <v>3</v>
      </c>
      <c r="HN181" t="s">
        <v>3</v>
      </c>
      <c r="HO181" t="s">
        <v>3</v>
      </c>
      <c r="HP181" t="s">
        <v>3</v>
      </c>
      <c r="HQ181" t="s">
        <v>3</v>
      </c>
      <c r="IK181">
        <v>0</v>
      </c>
    </row>
    <row r="182" spans="1:245" x14ac:dyDescent="0.2">
      <c r="A182">
        <v>17</v>
      </c>
      <c r="B182">
        <v>1</v>
      </c>
      <c r="E182" t="s">
        <v>167</v>
      </c>
      <c r="F182" t="s">
        <v>168</v>
      </c>
      <c r="G182" t="s">
        <v>169</v>
      </c>
      <c r="H182" t="s">
        <v>137</v>
      </c>
      <c r="I182">
        <v>6</v>
      </c>
      <c r="J182">
        <v>0</v>
      </c>
      <c r="K182">
        <v>6</v>
      </c>
      <c r="O182">
        <f>ROUND(CP182,2)</f>
        <v>54531.66</v>
      </c>
      <c r="P182">
        <f>ROUND(CQ182*I182,2)</f>
        <v>54531.66</v>
      </c>
      <c r="Q182">
        <f>ROUND(CR182*I182,2)</f>
        <v>0</v>
      </c>
      <c r="R182">
        <f>ROUND(CS182*I182,2)</f>
        <v>0</v>
      </c>
      <c r="S182">
        <f>ROUND(CT182*I182,2)</f>
        <v>0</v>
      </c>
      <c r="T182">
        <f>ROUND(CU182*I182,2)</f>
        <v>0</v>
      </c>
      <c r="U182">
        <f>ROUND(CV182*I182,7)</f>
        <v>0</v>
      </c>
      <c r="V182">
        <f>ROUND(CW182*I182,7)</f>
        <v>0</v>
      </c>
      <c r="W182">
        <f>ROUND(CX182*I182,2)</f>
        <v>0</v>
      </c>
      <c r="X182">
        <f t="shared" si="99"/>
        <v>0</v>
      </c>
      <c r="Y182">
        <f t="shared" si="99"/>
        <v>0</v>
      </c>
      <c r="AA182">
        <v>65174513</v>
      </c>
      <c r="AB182">
        <f>ROUND((AC182+AD182+AF182),6)</f>
        <v>6140.95</v>
      </c>
      <c r="AC182">
        <f>ROUND((ES182),6)</f>
        <v>6140.95</v>
      </c>
      <c r="AD182">
        <f>ROUND((((ET182)-(EU182))+AE182),6)</f>
        <v>0</v>
      </c>
      <c r="AE182">
        <f t="shared" si="100"/>
        <v>0</v>
      </c>
      <c r="AF182">
        <f t="shared" si="100"/>
        <v>0</v>
      </c>
      <c r="AG182">
        <f>ROUND((AP182),6)</f>
        <v>0</v>
      </c>
      <c r="AH182">
        <f t="shared" si="101"/>
        <v>0</v>
      </c>
      <c r="AI182">
        <f t="shared" si="101"/>
        <v>0</v>
      </c>
      <c r="AJ182">
        <f>(AS182)</f>
        <v>0</v>
      </c>
      <c r="AK182">
        <v>6140.95</v>
      </c>
      <c r="AL182">
        <v>6140.95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1</v>
      </c>
      <c r="AW182">
        <v>1</v>
      </c>
      <c r="AZ182">
        <v>1</v>
      </c>
      <c r="BA182">
        <v>1</v>
      </c>
      <c r="BB182">
        <v>1</v>
      </c>
      <c r="BC182">
        <v>1.48</v>
      </c>
      <c r="BD182" t="s">
        <v>3</v>
      </c>
      <c r="BE182" t="s">
        <v>3</v>
      </c>
      <c r="BF182" t="s">
        <v>3</v>
      </c>
      <c r="BG182" t="s">
        <v>3</v>
      </c>
      <c r="BH182">
        <v>3</v>
      </c>
      <c r="BI182">
        <v>2</v>
      </c>
      <c r="BJ182" t="s">
        <v>170</v>
      </c>
      <c r="BM182">
        <v>500002</v>
      </c>
      <c r="BN182">
        <v>0</v>
      </c>
      <c r="BO182" t="s">
        <v>168</v>
      </c>
      <c r="BP182">
        <v>1</v>
      </c>
      <c r="BQ182">
        <v>12</v>
      </c>
      <c r="BR182">
        <v>0</v>
      </c>
      <c r="BS182">
        <v>1</v>
      </c>
      <c r="BT182">
        <v>1</v>
      </c>
      <c r="BU182">
        <v>1</v>
      </c>
      <c r="BV182">
        <v>1</v>
      </c>
      <c r="BW182">
        <v>1</v>
      </c>
      <c r="BX182">
        <v>1</v>
      </c>
      <c r="BY182" t="s">
        <v>3</v>
      </c>
      <c r="BZ182">
        <v>0</v>
      </c>
      <c r="CA182">
        <v>0</v>
      </c>
      <c r="CB182" t="s">
        <v>3</v>
      </c>
      <c r="CE182">
        <v>0</v>
      </c>
      <c r="CF182">
        <v>0</v>
      </c>
      <c r="CG182">
        <v>0</v>
      </c>
      <c r="CM182">
        <v>0</v>
      </c>
      <c r="CN182" t="s">
        <v>3</v>
      </c>
      <c r="CO182">
        <v>0</v>
      </c>
      <c r="CP182">
        <f>(P182+Q182+S182+R182)</f>
        <v>54531.66</v>
      </c>
      <c r="CQ182">
        <f>ROUND(AL182*BC182,2)</f>
        <v>9088.61</v>
      </c>
      <c r="CR182">
        <f>ROUND(AM182*BB182,2)</f>
        <v>0</v>
      </c>
      <c r="CS182">
        <f>ROUND(AN182*BS182,2)</f>
        <v>0</v>
      </c>
      <c r="CT182">
        <f>ROUND(AO182*BA182,2)</f>
        <v>0</v>
      </c>
      <c r="CU182">
        <f t="shared" si="102"/>
        <v>0</v>
      </c>
      <c r="CV182">
        <f t="shared" si="102"/>
        <v>0</v>
      </c>
      <c r="CW182">
        <f t="shared" si="102"/>
        <v>0</v>
      </c>
      <c r="CX182">
        <f t="shared" si="102"/>
        <v>0</v>
      </c>
      <c r="CY182">
        <f>0</f>
        <v>0</v>
      </c>
      <c r="CZ182">
        <f>0</f>
        <v>0</v>
      </c>
      <c r="DC182" t="s">
        <v>3</v>
      </c>
      <c r="DD182" t="s">
        <v>3</v>
      </c>
      <c r="DE182" t="s">
        <v>3</v>
      </c>
      <c r="DF182" t="s">
        <v>3</v>
      </c>
      <c r="DG182" t="s">
        <v>3</v>
      </c>
      <c r="DH182" t="s">
        <v>3</v>
      </c>
      <c r="DI182" t="s">
        <v>3</v>
      </c>
      <c r="DJ182" t="s">
        <v>3</v>
      </c>
      <c r="DK182" t="s">
        <v>3</v>
      </c>
      <c r="DL182" t="s">
        <v>3</v>
      </c>
      <c r="DM182" t="s">
        <v>3</v>
      </c>
      <c r="DN182">
        <v>0</v>
      </c>
      <c r="DO182">
        <v>0</v>
      </c>
      <c r="DP182">
        <v>1</v>
      </c>
      <c r="DQ182">
        <v>1</v>
      </c>
      <c r="DU182">
        <v>1013</v>
      </c>
      <c r="DV182" t="s">
        <v>137</v>
      </c>
      <c r="DW182" t="s">
        <v>137</v>
      </c>
      <c r="DX182">
        <v>1</v>
      </c>
      <c r="DZ182" t="s">
        <v>3</v>
      </c>
      <c r="EA182" t="s">
        <v>3</v>
      </c>
      <c r="EB182" t="s">
        <v>3</v>
      </c>
      <c r="EC182" t="s">
        <v>3</v>
      </c>
      <c r="EE182">
        <v>64850936</v>
      </c>
      <c r="EF182">
        <v>12</v>
      </c>
      <c r="EG182" t="s">
        <v>164</v>
      </c>
      <c r="EH182">
        <v>0</v>
      </c>
      <c r="EI182" t="s">
        <v>3</v>
      </c>
      <c r="EJ182">
        <v>2</v>
      </c>
      <c r="EK182">
        <v>500002</v>
      </c>
      <c r="EL182" t="s">
        <v>165</v>
      </c>
      <c r="EM182" t="s">
        <v>166</v>
      </c>
      <c r="EO182" t="s">
        <v>3</v>
      </c>
      <c r="EQ182">
        <v>0</v>
      </c>
      <c r="ER182">
        <v>6140.95</v>
      </c>
      <c r="ES182">
        <v>6140.95</v>
      </c>
      <c r="ET182">
        <v>0</v>
      </c>
      <c r="EU182">
        <v>0</v>
      </c>
      <c r="EV182">
        <v>0</v>
      </c>
      <c r="EW182">
        <v>0</v>
      </c>
      <c r="EX182">
        <v>0</v>
      </c>
      <c r="EY182">
        <v>0</v>
      </c>
      <c r="FQ182">
        <v>0</v>
      </c>
      <c r="FR182">
        <f>ROUND(IF(BI182=3,GM182,0),2)</f>
        <v>0</v>
      </c>
      <c r="FS182">
        <v>0</v>
      </c>
      <c r="FX182">
        <v>0</v>
      </c>
      <c r="FY182">
        <v>0</v>
      </c>
      <c r="GA182" t="s">
        <v>3</v>
      </c>
      <c r="GD182">
        <v>1</v>
      </c>
      <c r="GF182">
        <v>-1744901998</v>
      </c>
      <c r="GG182">
        <v>2</v>
      </c>
      <c r="GH182">
        <v>1</v>
      </c>
      <c r="GI182">
        <v>2</v>
      </c>
      <c r="GJ182">
        <v>0</v>
      </c>
      <c r="GK182">
        <v>0</v>
      </c>
      <c r="GL182">
        <f>ROUND(IF(AND(BH182=3,BI182=3,FS182&lt;&gt;0),P182,0),2)</f>
        <v>0</v>
      </c>
      <c r="GM182">
        <f>ROUND(O182+X182+Y182,2)+GX182</f>
        <v>54531.66</v>
      </c>
      <c r="GN182">
        <f>IF(OR(BI182=0,BI182=1),GM182-GX182,0)</f>
        <v>0</v>
      </c>
      <c r="GO182">
        <f>IF(BI182=2,GM182-GX182,0)</f>
        <v>54531.66</v>
      </c>
      <c r="GP182">
        <f>IF(BI182=4,GM182-GX182,0)</f>
        <v>0</v>
      </c>
      <c r="GR182">
        <v>0</v>
      </c>
      <c r="GS182">
        <v>0</v>
      </c>
      <c r="GT182">
        <v>0</v>
      </c>
      <c r="GU182" t="s">
        <v>3</v>
      </c>
      <c r="GV182">
        <f>ROUND((GT182),6)</f>
        <v>0</v>
      </c>
      <c r="GW182">
        <v>1</v>
      </c>
      <c r="GX182">
        <f>ROUND(HC182*I182,2)</f>
        <v>0</v>
      </c>
      <c r="HA182">
        <v>0</v>
      </c>
      <c r="HB182">
        <v>0</v>
      </c>
      <c r="HC182">
        <f>GV182*GW182</f>
        <v>0</v>
      </c>
      <c r="HE182" t="s">
        <v>3</v>
      </c>
      <c r="HF182" t="s">
        <v>3</v>
      </c>
      <c r="HM182" t="s">
        <v>3</v>
      </c>
      <c r="HN182" t="s">
        <v>3</v>
      </c>
      <c r="HO182" t="s">
        <v>3</v>
      </c>
      <c r="HP182" t="s">
        <v>3</v>
      </c>
      <c r="HQ182" t="s">
        <v>3</v>
      </c>
      <c r="IK182">
        <v>0</v>
      </c>
    </row>
    <row r="183" spans="1:245" x14ac:dyDescent="0.2">
      <c r="A183">
        <v>17</v>
      </c>
      <c r="B183">
        <v>1</v>
      </c>
      <c r="E183" t="s">
        <v>171</v>
      </c>
      <c r="F183" t="s">
        <v>172</v>
      </c>
      <c r="G183" t="s">
        <v>173</v>
      </c>
      <c r="H183" t="s">
        <v>107</v>
      </c>
      <c r="I183">
        <v>158.4</v>
      </c>
      <c r="J183">
        <v>0</v>
      </c>
      <c r="K183">
        <v>158.4</v>
      </c>
      <c r="O183">
        <f>ROUND(CP183,2)</f>
        <v>175386.82</v>
      </c>
      <c r="P183">
        <f>ROUND(CQ183*I183,2)</f>
        <v>175386.82</v>
      </c>
      <c r="Q183">
        <f>ROUND(CR183*I183,2)</f>
        <v>0</v>
      </c>
      <c r="R183">
        <f>ROUND(CS183*I183,2)</f>
        <v>0</v>
      </c>
      <c r="S183">
        <f>ROUND(CT183*I183,2)</f>
        <v>0</v>
      </c>
      <c r="T183">
        <f>ROUND(CU183*I183,2)</f>
        <v>0</v>
      </c>
      <c r="U183">
        <f>ROUND(CV183*I183,7)</f>
        <v>0</v>
      </c>
      <c r="V183">
        <f>ROUND(CW183*I183,7)</f>
        <v>0</v>
      </c>
      <c r="W183">
        <f>ROUND(CX183*I183,2)</f>
        <v>0</v>
      </c>
      <c r="X183">
        <f t="shared" si="99"/>
        <v>0</v>
      </c>
      <c r="Y183">
        <f t="shared" si="99"/>
        <v>0</v>
      </c>
      <c r="AA183">
        <v>65174513</v>
      </c>
      <c r="AB183">
        <f>ROUND((AC183+AD183+AF183),6)</f>
        <v>573.70000000000005</v>
      </c>
      <c r="AC183">
        <f>ROUND((ES183),6)</f>
        <v>573.70000000000005</v>
      </c>
      <c r="AD183">
        <f>ROUND((((ET183)-(EU183))+AE183),6)</f>
        <v>0</v>
      </c>
      <c r="AE183">
        <f t="shared" si="100"/>
        <v>0</v>
      </c>
      <c r="AF183">
        <f t="shared" si="100"/>
        <v>0</v>
      </c>
      <c r="AG183">
        <f>ROUND((AP183),6)</f>
        <v>0</v>
      </c>
      <c r="AH183">
        <f t="shared" si="101"/>
        <v>0</v>
      </c>
      <c r="AI183">
        <f t="shared" si="101"/>
        <v>0</v>
      </c>
      <c r="AJ183">
        <f>(AS183)</f>
        <v>0</v>
      </c>
      <c r="AK183">
        <v>573.70000000000005</v>
      </c>
      <c r="AL183">
        <v>573.70000000000005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1</v>
      </c>
      <c r="AW183">
        <v>1</v>
      </c>
      <c r="AZ183">
        <v>1</v>
      </c>
      <c r="BA183">
        <v>1</v>
      </c>
      <c r="BB183">
        <v>1</v>
      </c>
      <c r="BC183">
        <v>1.93</v>
      </c>
      <c r="BD183" t="s">
        <v>3</v>
      </c>
      <c r="BE183" t="s">
        <v>3</v>
      </c>
      <c r="BF183" t="s">
        <v>3</v>
      </c>
      <c r="BG183" t="s">
        <v>3</v>
      </c>
      <c r="BH183">
        <v>3</v>
      </c>
      <c r="BI183">
        <v>1</v>
      </c>
      <c r="BJ183" t="s">
        <v>174</v>
      </c>
      <c r="BM183">
        <v>500001</v>
      </c>
      <c r="BN183">
        <v>0</v>
      </c>
      <c r="BO183" t="s">
        <v>172</v>
      </c>
      <c r="BP183">
        <v>1</v>
      </c>
      <c r="BQ183">
        <v>8</v>
      </c>
      <c r="BR183">
        <v>0</v>
      </c>
      <c r="BS183">
        <v>1</v>
      </c>
      <c r="BT183">
        <v>1</v>
      </c>
      <c r="BU183">
        <v>1</v>
      </c>
      <c r="BV183">
        <v>1</v>
      </c>
      <c r="BW183">
        <v>1</v>
      </c>
      <c r="BX183">
        <v>1</v>
      </c>
      <c r="BY183" t="s">
        <v>3</v>
      </c>
      <c r="BZ183">
        <v>0</v>
      </c>
      <c r="CA183">
        <v>0</v>
      </c>
      <c r="CB183" t="s">
        <v>3</v>
      </c>
      <c r="CE183">
        <v>0</v>
      </c>
      <c r="CF183">
        <v>0</v>
      </c>
      <c r="CG183">
        <v>0</v>
      </c>
      <c r="CM183">
        <v>0</v>
      </c>
      <c r="CN183" t="s">
        <v>3</v>
      </c>
      <c r="CO183">
        <v>0</v>
      </c>
      <c r="CP183">
        <f>(P183+Q183+S183+R183)</f>
        <v>175386.82</v>
      </c>
      <c r="CQ183">
        <f>ROUND(AL183*BC183,2)</f>
        <v>1107.24</v>
      </c>
      <c r="CR183">
        <f>ROUND(AM183*BB183,2)</f>
        <v>0</v>
      </c>
      <c r="CS183">
        <f>ROUND(AN183*BS183,2)</f>
        <v>0</v>
      </c>
      <c r="CT183">
        <f>ROUND(AO183*BA183,2)</f>
        <v>0</v>
      </c>
      <c r="CU183">
        <f t="shared" si="102"/>
        <v>0</v>
      </c>
      <c r="CV183">
        <f t="shared" si="102"/>
        <v>0</v>
      </c>
      <c r="CW183">
        <f t="shared" si="102"/>
        <v>0</v>
      </c>
      <c r="CX183">
        <f t="shared" si="102"/>
        <v>0</v>
      </c>
      <c r="CY183">
        <f>0</f>
        <v>0</v>
      </c>
      <c r="CZ183">
        <f>0</f>
        <v>0</v>
      </c>
      <c r="DC183" t="s">
        <v>3</v>
      </c>
      <c r="DD183" t="s">
        <v>3</v>
      </c>
      <c r="DE183" t="s">
        <v>3</v>
      </c>
      <c r="DF183" t="s">
        <v>3</v>
      </c>
      <c r="DG183" t="s">
        <v>3</v>
      </c>
      <c r="DH183" t="s">
        <v>3</v>
      </c>
      <c r="DI183" t="s">
        <v>3</v>
      </c>
      <c r="DJ183" t="s">
        <v>3</v>
      </c>
      <c r="DK183" t="s">
        <v>3</v>
      </c>
      <c r="DL183" t="s">
        <v>3</v>
      </c>
      <c r="DM183" t="s">
        <v>3</v>
      </c>
      <c r="DN183">
        <v>0</v>
      </c>
      <c r="DO183">
        <v>0</v>
      </c>
      <c r="DP183">
        <v>1</v>
      </c>
      <c r="DQ183">
        <v>1</v>
      </c>
      <c r="DU183">
        <v>1007</v>
      </c>
      <c r="DV183" t="s">
        <v>107</v>
      </c>
      <c r="DW183" t="s">
        <v>107</v>
      </c>
      <c r="DX183">
        <v>1</v>
      </c>
      <c r="DZ183" t="s">
        <v>3</v>
      </c>
      <c r="EA183" t="s">
        <v>3</v>
      </c>
      <c r="EB183" t="s">
        <v>3</v>
      </c>
      <c r="EC183" t="s">
        <v>3</v>
      </c>
      <c r="EE183">
        <v>64850935</v>
      </c>
      <c r="EF183">
        <v>8</v>
      </c>
      <c r="EG183" t="s">
        <v>175</v>
      </c>
      <c r="EH183">
        <v>0</v>
      </c>
      <c r="EI183" t="s">
        <v>3</v>
      </c>
      <c r="EJ183">
        <v>1</v>
      </c>
      <c r="EK183">
        <v>500001</v>
      </c>
      <c r="EL183" t="s">
        <v>176</v>
      </c>
      <c r="EM183" t="s">
        <v>177</v>
      </c>
      <c r="EO183" t="s">
        <v>3</v>
      </c>
      <c r="EQ183">
        <v>0</v>
      </c>
      <c r="ER183">
        <v>573.70000000000005</v>
      </c>
      <c r="ES183">
        <v>573.70000000000005</v>
      </c>
      <c r="ET183">
        <v>0</v>
      </c>
      <c r="EU183">
        <v>0</v>
      </c>
      <c r="EV183">
        <v>0</v>
      </c>
      <c r="EW183">
        <v>0</v>
      </c>
      <c r="EX183">
        <v>0</v>
      </c>
      <c r="EY183">
        <v>0</v>
      </c>
      <c r="FQ183">
        <v>0</v>
      </c>
      <c r="FR183">
        <f>ROUND(IF(BI183=3,GM183,0),2)</f>
        <v>0</v>
      </c>
      <c r="FS183">
        <v>0</v>
      </c>
      <c r="FX183">
        <v>0</v>
      </c>
      <c r="FY183">
        <v>0</v>
      </c>
      <c r="GA183" t="s">
        <v>3</v>
      </c>
      <c r="GD183">
        <v>1</v>
      </c>
      <c r="GF183">
        <v>735479045</v>
      </c>
      <c r="GG183">
        <v>2</v>
      </c>
      <c r="GH183">
        <v>1</v>
      </c>
      <c r="GI183">
        <v>2</v>
      </c>
      <c r="GJ183">
        <v>0</v>
      </c>
      <c r="GK183">
        <v>0</v>
      </c>
      <c r="GL183">
        <f>ROUND(IF(AND(BH183=3,BI183=3,FS183&lt;&gt;0),P183,0),2)</f>
        <v>0</v>
      </c>
      <c r="GM183">
        <f>ROUND(O183+X183+Y183,2)+GX183</f>
        <v>175386.82</v>
      </c>
      <c r="GN183">
        <f>IF(OR(BI183=0,BI183=1),GM183-GX183,0)</f>
        <v>175386.82</v>
      </c>
      <c r="GO183">
        <f>IF(BI183=2,GM183-GX183,0)</f>
        <v>0</v>
      </c>
      <c r="GP183">
        <f>IF(BI183=4,GM183-GX183,0)</f>
        <v>0</v>
      </c>
      <c r="GR183">
        <v>0</v>
      </c>
      <c r="GS183">
        <v>0</v>
      </c>
      <c r="GT183">
        <v>0</v>
      </c>
      <c r="GU183" t="s">
        <v>3</v>
      </c>
      <c r="GV183">
        <f>ROUND((GT183),6)</f>
        <v>0</v>
      </c>
      <c r="GW183">
        <v>1</v>
      </c>
      <c r="GX183">
        <f>ROUND(HC183*I183,2)</f>
        <v>0</v>
      </c>
      <c r="HA183">
        <v>0</v>
      </c>
      <c r="HB183">
        <v>0</v>
      </c>
      <c r="HC183">
        <f>GV183*GW183</f>
        <v>0</v>
      </c>
      <c r="HE183" t="s">
        <v>3</v>
      </c>
      <c r="HF183" t="s">
        <v>3</v>
      </c>
      <c r="HM183" t="s">
        <v>3</v>
      </c>
      <c r="HN183" t="s">
        <v>3</v>
      </c>
      <c r="HO183" t="s">
        <v>3</v>
      </c>
      <c r="HP183" t="s">
        <v>3</v>
      </c>
      <c r="HQ183" t="s">
        <v>3</v>
      </c>
      <c r="IK183">
        <v>0</v>
      </c>
    </row>
    <row r="184" spans="1:245" x14ac:dyDescent="0.2">
      <c r="A184">
        <v>17</v>
      </c>
      <c r="B184">
        <v>1</v>
      </c>
      <c r="E184" t="s">
        <v>178</v>
      </c>
      <c r="F184" t="s">
        <v>179</v>
      </c>
      <c r="G184" t="s">
        <v>180</v>
      </c>
      <c r="H184" t="s">
        <v>137</v>
      </c>
      <c r="I184">
        <v>2750</v>
      </c>
      <c r="J184">
        <v>0</v>
      </c>
      <c r="K184">
        <v>2750</v>
      </c>
      <c r="O184">
        <f>ROUND(CP184,2)</f>
        <v>378730</v>
      </c>
      <c r="P184">
        <f>ROUND(CQ184*I184,2)</f>
        <v>378730</v>
      </c>
      <c r="Q184">
        <f>ROUND(CR184*I184,2)</f>
        <v>0</v>
      </c>
      <c r="R184">
        <f>ROUND(CS184*I184,2)</f>
        <v>0</v>
      </c>
      <c r="S184">
        <f>ROUND(CT184*I184,2)</f>
        <v>0</v>
      </c>
      <c r="T184">
        <f>ROUND(CU184*I184,2)</f>
        <v>0</v>
      </c>
      <c r="U184">
        <f>ROUND(CV184*I184,7)</f>
        <v>0</v>
      </c>
      <c r="V184">
        <f>ROUND(CW184*I184,7)</f>
        <v>0</v>
      </c>
      <c r="W184">
        <f>ROUND(CX184*I184,2)</f>
        <v>0</v>
      </c>
      <c r="X184">
        <f t="shared" si="99"/>
        <v>0</v>
      </c>
      <c r="Y184">
        <f t="shared" si="99"/>
        <v>0</v>
      </c>
      <c r="AA184">
        <v>65174513</v>
      </c>
      <c r="AB184">
        <f>ROUND((AC184+AD184+AF184),6)</f>
        <v>108.44</v>
      </c>
      <c r="AC184">
        <f>ROUND((ES184),6)</f>
        <v>108.44</v>
      </c>
      <c r="AD184">
        <f>ROUND((((ET184)-(EU184))+AE184),6)</f>
        <v>0</v>
      </c>
      <c r="AE184">
        <f t="shared" si="100"/>
        <v>0</v>
      </c>
      <c r="AF184">
        <f t="shared" si="100"/>
        <v>0</v>
      </c>
      <c r="AG184">
        <f>ROUND((AP184),6)</f>
        <v>0</v>
      </c>
      <c r="AH184">
        <f t="shared" si="101"/>
        <v>0</v>
      </c>
      <c r="AI184">
        <f t="shared" si="101"/>
        <v>0</v>
      </c>
      <c r="AJ184">
        <f>(AS184)</f>
        <v>0</v>
      </c>
      <c r="AK184">
        <v>108.44</v>
      </c>
      <c r="AL184">
        <v>108.44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1</v>
      </c>
      <c r="AW184">
        <v>1</v>
      </c>
      <c r="AZ184">
        <v>1</v>
      </c>
      <c r="BA184">
        <v>1</v>
      </c>
      <c r="BB184">
        <v>1</v>
      </c>
      <c r="BC184">
        <v>1.27</v>
      </c>
      <c r="BD184" t="s">
        <v>3</v>
      </c>
      <c r="BE184" t="s">
        <v>3</v>
      </c>
      <c r="BF184" t="s">
        <v>3</v>
      </c>
      <c r="BG184" t="s">
        <v>3</v>
      </c>
      <c r="BH184">
        <v>3</v>
      </c>
      <c r="BI184">
        <v>2</v>
      </c>
      <c r="BJ184" t="s">
        <v>181</v>
      </c>
      <c r="BM184">
        <v>500002</v>
      </c>
      <c r="BN184">
        <v>0</v>
      </c>
      <c r="BO184" t="s">
        <v>179</v>
      </c>
      <c r="BP184">
        <v>1</v>
      </c>
      <c r="BQ184">
        <v>12</v>
      </c>
      <c r="BR184">
        <v>0</v>
      </c>
      <c r="BS184">
        <v>1</v>
      </c>
      <c r="BT184">
        <v>1</v>
      </c>
      <c r="BU184">
        <v>1</v>
      </c>
      <c r="BV184">
        <v>1</v>
      </c>
      <c r="BW184">
        <v>1</v>
      </c>
      <c r="BX184">
        <v>1</v>
      </c>
      <c r="BY184" t="s">
        <v>3</v>
      </c>
      <c r="BZ184">
        <v>0</v>
      </c>
      <c r="CA184">
        <v>0</v>
      </c>
      <c r="CB184" t="s">
        <v>3</v>
      </c>
      <c r="CE184">
        <v>0</v>
      </c>
      <c r="CF184">
        <v>0</v>
      </c>
      <c r="CG184">
        <v>0</v>
      </c>
      <c r="CM184">
        <v>0</v>
      </c>
      <c r="CN184" t="s">
        <v>3</v>
      </c>
      <c r="CO184">
        <v>0</v>
      </c>
      <c r="CP184">
        <f>(P184+Q184+S184+R184)</f>
        <v>378730</v>
      </c>
      <c r="CQ184">
        <f>ROUND(AL184*BC184,2)</f>
        <v>137.72</v>
      </c>
      <c r="CR184">
        <f>ROUND(AM184*BB184,2)</f>
        <v>0</v>
      </c>
      <c r="CS184">
        <f>ROUND(AN184*BS184,2)</f>
        <v>0</v>
      </c>
      <c r="CT184">
        <f>ROUND(AO184*BA184,2)</f>
        <v>0</v>
      </c>
      <c r="CU184">
        <f t="shared" si="102"/>
        <v>0</v>
      </c>
      <c r="CV184">
        <f t="shared" si="102"/>
        <v>0</v>
      </c>
      <c r="CW184">
        <f t="shared" si="102"/>
        <v>0</v>
      </c>
      <c r="CX184">
        <f t="shared" si="102"/>
        <v>0</v>
      </c>
      <c r="CY184">
        <f>0</f>
        <v>0</v>
      </c>
      <c r="CZ184">
        <f>0</f>
        <v>0</v>
      </c>
      <c r="DC184" t="s">
        <v>3</v>
      </c>
      <c r="DD184" t="s">
        <v>3</v>
      </c>
      <c r="DE184" t="s">
        <v>3</v>
      </c>
      <c r="DF184" t="s">
        <v>3</v>
      </c>
      <c r="DG184" t="s">
        <v>3</v>
      </c>
      <c r="DH184" t="s">
        <v>3</v>
      </c>
      <c r="DI184" t="s">
        <v>3</v>
      </c>
      <c r="DJ184" t="s">
        <v>3</v>
      </c>
      <c r="DK184" t="s">
        <v>3</v>
      </c>
      <c r="DL184" t="s">
        <v>3</v>
      </c>
      <c r="DM184" t="s">
        <v>3</v>
      </c>
      <c r="DN184">
        <v>0</v>
      </c>
      <c r="DO184">
        <v>0</v>
      </c>
      <c r="DP184">
        <v>1</v>
      </c>
      <c r="DQ184">
        <v>1</v>
      </c>
      <c r="DU184">
        <v>1013</v>
      </c>
      <c r="DV184" t="s">
        <v>137</v>
      </c>
      <c r="DW184" t="s">
        <v>137</v>
      </c>
      <c r="DX184">
        <v>1</v>
      </c>
      <c r="DZ184" t="s">
        <v>3</v>
      </c>
      <c r="EA184" t="s">
        <v>3</v>
      </c>
      <c r="EB184" t="s">
        <v>3</v>
      </c>
      <c r="EC184" t="s">
        <v>3</v>
      </c>
      <c r="EE184">
        <v>64850936</v>
      </c>
      <c r="EF184">
        <v>12</v>
      </c>
      <c r="EG184" t="s">
        <v>164</v>
      </c>
      <c r="EH184">
        <v>0</v>
      </c>
      <c r="EI184" t="s">
        <v>3</v>
      </c>
      <c r="EJ184">
        <v>2</v>
      </c>
      <c r="EK184">
        <v>500002</v>
      </c>
      <c r="EL184" t="s">
        <v>165</v>
      </c>
      <c r="EM184" t="s">
        <v>166</v>
      </c>
      <c r="EO184" t="s">
        <v>3</v>
      </c>
      <c r="EQ184">
        <v>0</v>
      </c>
      <c r="ER184">
        <v>108.44</v>
      </c>
      <c r="ES184">
        <v>108.44</v>
      </c>
      <c r="ET184">
        <v>0</v>
      </c>
      <c r="EU184">
        <v>0</v>
      </c>
      <c r="EV184">
        <v>0</v>
      </c>
      <c r="EW184">
        <v>0</v>
      </c>
      <c r="EX184">
        <v>0</v>
      </c>
      <c r="EY184">
        <v>0</v>
      </c>
      <c r="FQ184">
        <v>0</v>
      </c>
      <c r="FR184">
        <f>ROUND(IF(BI184=3,GM184,0),2)</f>
        <v>0</v>
      </c>
      <c r="FS184">
        <v>0</v>
      </c>
      <c r="FX184">
        <v>0</v>
      </c>
      <c r="FY184">
        <v>0</v>
      </c>
      <c r="GA184" t="s">
        <v>3</v>
      </c>
      <c r="GD184">
        <v>1</v>
      </c>
      <c r="GF184">
        <v>-1042453259</v>
      </c>
      <c r="GG184">
        <v>2</v>
      </c>
      <c r="GH184">
        <v>1</v>
      </c>
      <c r="GI184">
        <v>2</v>
      </c>
      <c r="GJ184">
        <v>0</v>
      </c>
      <c r="GK184">
        <v>0</v>
      </c>
      <c r="GL184">
        <f>ROUND(IF(AND(BH184=3,BI184=3,FS184&lt;&gt;0),P184,0),2)</f>
        <v>0</v>
      </c>
      <c r="GM184">
        <f>ROUND(O184+X184+Y184,2)+GX184</f>
        <v>378730</v>
      </c>
      <c r="GN184">
        <f>IF(OR(BI184=0,BI184=1),GM184-GX184,0)</f>
        <v>0</v>
      </c>
      <c r="GO184">
        <f>IF(BI184=2,GM184-GX184,0)</f>
        <v>378730</v>
      </c>
      <c r="GP184">
        <f>IF(BI184=4,GM184-GX184,0)</f>
        <v>0</v>
      </c>
      <c r="GR184">
        <v>0</v>
      </c>
      <c r="GS184">
        <v>3</v>
      </c>
      <c r="GT184">
        <v>0</v>
      </c>
      <c r="GU184" t="s">
        <v>3</v>
      </c>
      <c r="GV184">
        <f>ROUND((GT184),6)</f>
        <v>0</v>
      </c>
      <c r="GW184">
        <v>1</v>
      </c>
      <c r="GX184">
        <f>ROUND(HC184*I184,2)</f>
        <v>0</v>
      </c>
      <c r="HA184">
        <v>0</v>
      </c>
      <c r="HB184">
        <v>0</v>
      </c>
      <c r="HC184">
        <f>GV184*GW184</f>
        <v>0</v>
      </c>
      <c r="HE184" t="s">
        <v>3</v>
      </c>
      <c r="HF184" t="s">
        <v>3</v>
      </c>
      <c r="HM184" t="s">
        <v>3</v>
      </c>
      <c r="HN184" t="s">
        <v>3</v>
      </c>
      <c r="HO184" t="s">
        <v>3</v>
      </c>
      <c r="HP184" t="s">
        <v>3</v>
      </c>
      <c r="HQ184" t="s">
        <v>3</v>
      </c>
      <c r="IK184">
        <v>0</v>
      </c>
    </row>
    <row r="185" spans="1:245" x14ac:dyDescent="0.2">
      <c r="A185">
        <v>17</v>
      </c>
      <c r="B185">
        <v>1</v>
      </c>
      <c r="E185" t="s">
        <v>182</v>
      </c>
      <c r="F185" t="s">
        <v>183</v>
      </c>
      <c r="G185" t="s">
        <v>184</v>
      </c>
      <c r="H185" t="s">
        <v>185</v>
      </c>
      <c r="I185">
        <f>ROUND(13/100,7)</f>
        <v>0.13</v>
      </c>
      <c r="J185">
        <v>0</v>
      </c>
      <c r="K185">
        <f>ROUND(13/100,7)</f>
        <v>0.13</v>
      </c>
      <c r="O185">
        <f>ROUND(CP185,2)</f>
        <v>8586.17</v>
      </c>
      <c r="P185">
        <f>ROUND(CQ185*I185,2)</f>
        <v>8586.17</v>
      </c>
      <c r="Q185">
        <f>ROUND(CR185*I185,2)</f>
        <v>0</v>
      </c>
      <c r="R185">
        <f>ROUND(CS185*I185,2)</f>
        <v>0</v>
      </c>
      <c r="S185">
        <f>ROUND(CT185*I185,2)</f>
        <v>0</v>
      </c>
      <c r="T185">
        <f>ROUND(CU185*I185,2)</f>
        <v>0</v>
      </c>
      <c r="U185">
        <f>ROUND(CV185*I185,7)</f>
        <v>0</v>
      </c>
      <c r="V185">
        <f>ROUND(CW185*I185,7)</f>
        <v>0</v>
      </c>
      <c r="W185">
        <f>ROUND(CX185*I185,2)</f>
        <v>0</v>
      </c>
      <c r="X185">
        <f t="shared" si="99"/>
        <v>0</v>
      </c>
      <c r="Y185">
        <f t="shared" si="99"/>
        <v>0</v>
      </c>
      <c r="AA185">
        <v>65174513</v>
      </c>
      <c r="AB185">
        <f>ROUND((AC185+AD185+AF185),6)</f>
        <v>58449.1</v>
      </c>
      <c r="AC185">
        <f>ROUND((ES185),6)</f>
        <v>58449.1</v>
      </c>
      <c r="AD185">
        <f>ROUND((((ET185)-(EU185))+AE185),6)</f>
        <v>0</v>
      </c>
      <c r="AE185">
        <f t="shared" si="100"/>
        <v>0</v>
      </c>
      <c r="AF185">
        <f t="shared" si="100"/>
        <v>0</v>
      </c>
      <c r="AG185">
        <f>ROUND((AP185),6)</f>
        <v>0</v>
      </c>
      <c r="AH185">
        <f t="shared" si="101"/>
        <v>0</v>
      </c>
      <c r="AI185">
        <f t="shared" si="101"/>
        <v>0</v>
      </c>
      <c r="AJ185">
        <f>(AS185)</f>
        <v>0</v>
      </c>
      <c r="AK185">
        <v>58449.1</v>
      </c>
      <c r="AL185">
        <v>58449.1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1</v>
      </c>
      <c r="AW185">
        <v>1</v>
      </c>
      <c r="AZ185">
        <v>1</v>
      </c>
      <c r="BA185">
        <v>1</v>
      </c>
      <c r="BB185">
        <v>1</v>
      </c>
      <c r="BC185">
        <v>1.1299999999999999</v>
      </c>
      <c r="BD185" t="s">
        <v>3</v>
      </c>
      <c r="BE185" t="s">
        <v>3</v>
      </c>
      <c r="BF185" t="s">
        <v>3</v>
      </c>
      <c r="BG185" t="s">
        <v>3</v>
      </c>
      <c r="BH185">
        <v>3</v>
      </c>
      <c r="BI185">
        <v>2</v>
      </c>
      <c r="BJ185" t="s">
        <v>186</v>
      </c>
      <c r="BM185">
        <v>500002</v>
      </c>
      <c r="BN185">
        <v>0</v>
      </c>
      <c r="BO185" t="s">
        <v>183</v>
      </c>
      <c r="BP185">
        <v>1</v>
      </c>
      <c r="BQ185">
        <v>12</v>
      </c>
      <c r="BR185">
        <v>0</v>
      </c>
      <c r="BS185">
        <v>1</v>
      </c>
      <c r="BT185">
        <v>1</v>
      </c>
      <c r="BU185">
        <v>1</v>
      </c>
      <c r="BV185">
        <v>1</v>
      </c>
      <c r="BW185">
        <v>1</v>
      </c>
      <c r="BX185">
        <v>1</v>
      </c>
      <c r="BY185" t="s">
        <v>3</v>
      </c>
      <c r="BZ185">
        <v>0</v>
      </c>
      <c r="CA185">
        <v>0</v>
      </c>
      <c r="CB185" t="s">
        <v>3</v>
      </c>
      <c r="CE185">
        <v>0</v>
      </c>
      <c r="CF185">
        <v>0</v>
      </c>
      <c r="CG185">
        <v>0</v>
      </c>
      <c r="CM185">
        <v>0</v>
      </c>
      <c r="CN185" t="s">
        <v>3</v>
      </c>
      <c r="CO185">
        <v>0</v>
      </c>
      <c r="CP185">
        <f>(P185+Q185+S185+R185)</f>
        <v>8586.17</v>
      </c>
      <c r="CQ185">
        <f>ROUND(AL185*BC185,2)</f>
        <v>66047.48</v>
      </c>
      <c r="CR185">
        <f>ROUND(AM185*BB185,2)</f>
        <v>0</v>
      </c>
      <c r="CS185">
        <f>ROUND(AN185*BS185,2)</f>
        <v>0</v>
      </c>
      <c r="CT185">
        <f>ROUND(AO185*BA185,2)</f>
        <v>0</v>
      </c>
      <c r="CU185">
        <f t="shared" si="102"/>
        <v>0</v>
      </c>
      <c r="CV185">
        <f t="shared" si="102"/>
        <v>0</v>
      </c>
      <c r="CW185">
        <f t="shared" si="102"/>
        <v>0</v>
      </c>
      <c r="CX185">
        <f t="shared" si="102"/>
        <v>0</v>
      </c>
      <c r="CY185">
        <f>0</f>
        <v>0</v>
      </c>
      <c r="CZ185">
        <f>0</f>
        <v>0</v>
      </c>
      <c r="DC185" t="s">
        <v>3</v>
      </c>
      <c r="DD185" t="s">
        <v>3</v>
      </c>
      <c r="DE185" t="s">
        <v>3</v>
      </c>
      <c r="DF185" t="s">
        <v>3</v>
      </c>
      <c r="DG185" t="s">
        <v>3</v>
      </c>
      <c r="DH185" t="s">
        <v>3</v>
      </c>
      <c r="DI185" t="s">
        <v>3</v>
      </c>
      <c r="DJ185" t="s">
        <v>3</v>
      </c>
      <c r="DK185" t="s">
        <v>3</v>
      </c>
      <c r="DL185" t="s">
        <v>3</v>
      </c>
      <c r="DM185" t="s">
        <v>3</v>
      </c>
      <c r="DN185">
        <v>0</v>
      </c>
      <c r="DO185">
        <v>0</v>
      </c>
      <c r="DP185">
        <v>1</v>
      </c>
      <c r="DQ185">
        <v>1</v>
      </c>
      <c r="DU185">
        <v>1013</v>
      </c>
      <c r="DV185" t="s">
        <v>185</v>
      </c>
      <c r="DW185" t="s">
        <v>185</v>
      </c>
      <c r="DX185">
        <v>1</v>
      </c>
      <c r="DZ185" t="s">
        <v>3</v>
      </c>
      <c r="EA185" t="s">
        <v>3</v>
      </c>
      <c r="EB185" t="s">
        <v>3</v>
      </c>
      <c r="EC185" t="s">
        <v>3</v>
      </c>
      <c r="EE185">
        <v>64850936</v>
      </c>
      <c r="EF185">
        <v>12</v>
      </c>
      <c r="EG185" t="s">
        <v>164</v>
      </c>
      <c r="EH185">
        <v>0</v>
      </c>
      <c r="EI185" t="s">
        <v>3</v>
      </c>
      <c r="EJ185">
        <v>2</v>
      </c>
      <c r="EK185">
        <v>500002</v>
      </c>
      <c r="EL185" t="s">
        <v>165</v>
      </c>
      <c r="EM185" t="s">
        <v>166</v>
      </c>
      <c r="EO185" t="s">
        <v>3</v>
      </c>
      <c r="EQ185">
        <v>0</v>
      </c>
      <c r="ER185">
        <v>58449.1</v>
      </c>
      <c r="ES185">
        <v>58449.1</v>
      </c>
      <c r="ET185">
        <v>0</v>
      </c>
      <c r="EU185">
        <v>0</v>
      </c>
      <c r="EV185">
        <v>0</v>
      </c>
      <c r="EW185">
        <v>0</v>
      </c>
      <c r="EX185">
        <v>0</v>
      </c>
      <c r="EY185">
        <v>0</v>
      </c>
      <c r="FQ185">
        <v>0</v>
      </c>
      <c r="FR185">
        <f>ROUND(IF(BI185=3,GM185,0),2)</f>
        <v>0</v>
      </c>
      <c r="FS185">
        <v>0</v>
      </c>
      <c r="FX185">
        <v>0</v>
      </c>
      <c r="FY185">
        <v>0</v>
      </c>
      <c r="GA185" t="s">
        <v>3</v>
      </c>
      <c r="GD185">
        <v>1</v>
      </c>
      <c r="GF185">
        <v>-557955574</v>
      </c>
      <c r="GG185">
        <v>2</v>
      </c>
      <c r="GH185">
        <v>1</v>
      </c>
      <c r="GI185">
        <v>2</v>
      </c>
      <c r="GJ185">
        <v>0</v>
      </c>
      <c r="GK185">
        <v>0</v>
      </c>
      <c r="GL185">
        <f>ROUND(IF(AND(BH185=3,BI185=3,FS185&lt;&gt;0),P185,0),2)</f>
        <v>0</v>
      </c>
      <c r="GM185">
        <f>ROUND(O185+X185+Y185,2)+GX185</f>
        <v>8586.17</v>
      </c>
      <c r="GN185">
        <f>IF(OR(BI185=0,BI185=1),GM185-GX185,0)</f>
        <v>0</v>
      </c>
      <c r="GO185">
        <f>IF(BI185=2,GM185-GX185,0)</f>
        <v>8586.17</v>
      </c>
      <c r="GP185">
        <f>IF(BI185=4,GM185-GX185,0)</f>
        <v>0</v>
      </c>
      <c r="GR185">
        <v>0</v>
      </c>
      <c r="GS185">
        <v>0</v>
      </c>
      <c r="GT185">
        <v>0</v>
      </c>
      <c r="GU185" t="s">
        <v>3</v>
      </c>
      <c r="GV185">
        <f>ROUND((GT185),6)</f>
        <v>0</v>
      </c>
      <c r="GW185">
        <v>1</v>
      </c>
      <c r="GX185">
        <f>ROUND(HC185*I185,2)</f>
        <v>0</v>
      </c>
      <c r="HA185">
        <v>0</v>
      </c>
      <c r="HB185">
        <v>0</v>
      </c>
      <c r="HC185">
        <f>GV185*GW185</f>
        <v>0</v>
      </c>
      <c r="HE185" t="s">
        <v>3</v>
      </c>
      <c r="HF185" t="s">
        <v>3</v>
      </c>
      <c r="HM185" t="s">
        <v>3</v>
      </c>
      <c r="HN185" t="s">
        <v>3</v>
      </c>
      <c r="HO185" t="s">
        <v>3</v>
      </c>
      <c r="HP185" t="s">
        <v>3</v>
      </c>
      <c r="HQ185" t="s">
        <v>3</v>
      </c>
      <c r="IK185">
        <v>0</v>
      </c>
    </row>
    <row r="187" spans="1:245" x14ac:dyDescent="0.2">
      <c r="A187" s="2">
        <v>51</v>
      </c>
      <c r="B187" s="2">
        <f>B177</f>
        <v>1</v>
      </c>
      <c r="C187" s="2">
        <f>A177</f>
        <v>4</v>
      </c>
      <c r="D187" s="2">
        <f>ROW(A177)</f>
        <v>177</v>
      </c>
      <c r="E187" s="2"/>
      <c r="F187" s="2" t="str">
        <f>IF(F177&lt;&gt;"",F177,"")</f>
        <v>Новый раздел</v>
      </c>
      <c r="G187" s="2" t="str">
        <f>IF(G177&lt;&gt;"",G177,"")</f>
        <v>Материалы не учтенные ценником</v>
      </c>
      <c r="H187" s="2">
        <v>0</v>
      </c>
      <c r="I187" s="2"/>
      <c r="J187" s="2"/>
      <c r="K187" s="2"/>
      <c r="L187" s="2"/>
      <c r="M187" s="2"/>
      <c r="N187" s="2"/>
      <c r="O187" s="2">
        <f t="shared" ref="O187:T187" si="103">ROUND(AB187,2)</f>
        <v>5438892.29</v>
      </c>
      <c r="P187" s="2">
        <f t="shared" si="103"/>
        <v>5438892.29</v>
      </c>
      <c r="Q187" s="2">
        <f t="shared" si="103"/>
        <v>0</v>
      </c>
      <c r="R187" s="2">
        <f t="shared" si="103"/>
        <v>0</v>
      </c>
      <c r="S187" s="2">
        <f t="shared" si="103"/>
        <v>0</v>
      </c>
      <c r="T187" s="2">
        <f t="shared" si="103"/>
        <v>0</v>
      </c>
      <c r="U187" s="2">
        <f>AH187</f>
        <v>0</v>
      </c>
      <c r="V187" s="2">
        <f>AI187</f>
        <v>0</v>
      </c>
      <c r="W187" s="2">
        <f>ROUND(AJ187,2)</f>
        <v>0</v>
      </c>
      <c r="X187" s="2">
        <f>ROUND(AK187,2)</f>
        <v>0</v>
      </c>
      <c r="Y187" s="2">
        <f>ROUND(AL187,2)</f>
        <v>0</v>
      </c>
      <c r="Z187" s="2"/>
      <c r="AA187" s="2"/>
      <c r="AB187" s="2">
        <f>ROUND(SUMIF(AA181:AA185,"=65174513",O181:O185),2)</f>
        <v>5438892.29</v>
      </c>
      <c r="AC187" s="2">
        <f>ROUND(SUMIF(AA181:AA185,"=65174513",P181:P185),2)</f>
        <v>5438892.29</v>
      </c>
      <c r="AD187" s="2">
        <f>ROUND(SUMIF(AA181:AA185,"=65174513",Q181:Q185),2)</f>
        <v>0</v>
      </c>
      <c r="AE187" s="2">
        <f>ROUND(SUMIF(AA181:AA185,"=65174513",R181:R185),2)</f>
        <v>0</v>
      </c>
      <c r="AF187" s="2">
        <f>ROUND(SUMIF(AA181:AA185,"=65174513",S181:S185),2)</f>
        <v>0</v>
      </c>
      <c r="AG187" s="2">
        <f>ROUND(SUMIF(AA181:AA185,"=65174513",T181:T185),2)</f>
        <v>0</v>
      </c>
      <c r="AH187" s="2">
        <f>SUMIF(AA181:AA185,"=65174513",U181:U185)</f>
        <v>0</v>
      </c>
      <c r="AI187" s="2">
        <f>SUMIF(AA181:AA185,"=65174513",V181:V185)</f>
        <v>0</v>
      </c>
      <c r="AJ187" s="2">
        <f>ROUND(SUMIF(AA181:AA185,"=65174513",W181:W185),2)</f>
        <v>0</v>
      </c>
      <c r="AK187" s="2">
        <f>ROUND(SUMIF(AA181:AA185,"=65174513",X181:X185),2)</f>
        <v>0</v>
      </c>
      <c r="AL187" s="2">
        <f>ROUND(SUMIF(AA181:AA185,"=65174513",Y181:Y185),2)</f>
        <v>0</v>
      </c>
      <c r="AM187" s="2"/>
      <c r="AN187" s="2"/>
      <c r="AO187" s="2">
        <f t="shared" ref="AO187:BD187" si="104">ROUND(BX187,2)</f>
        <v>0</v>
      </c>
      <c r="AP187" s="2">
        <f t="shared" si="104"/>
        <v>0</v>
      </c>
      <c r="AQ187" s="2">
        <f t="shared" si="104"/>
        <v>0</v>
      </c>
      <c r="AR187" s="2">
        <f t="shared" si="104"/>
        <v>5438892.29</v>
      </c>
      <c r="AS187" s="2">
        <f t="shared" si="104"/>
        <v>175386.82</v>
      </c>
      <c r="AT187" s="2">
        <f t="shared" si="104"/>
        <v>5263505.47</v>
      </c>
      <c r="AU187" s="2">
        <f t="shared" si="104"/>
        <v>0</v>
      </c>
      <c r="AV187" s="2">
        <f t="shared" si="104"/>
        <v>5438892.29</v>
      </c>
      <c r="AW187" s="2">
        <f t="shared" si="104"/>
        <v>5438892.29</v>
      </c>
      <c r="AX187" s="2">
        <f t="shared" si="104"/>
        <v>0</v>
      </c>
      <c r="AY187" s="2">
        <f t="shared" si="104"/>
        <v>5438892.29</v>
      </c>
      <c r="AZ187" s="2">
        <f t="shared" si="104"/>
        <v>0</v>
      </c>
      <c r="BA187" s="2">
        <f t="shared" si="104"/>
        <v>0</v>
      </c>
      <c r="BB187" s="2">
        <f t="shared" si="104"/>
        <v>0</v>
      </c>
      <c r="BC187" s="2">
        <f t="shared" si="104"/>
        <v>0</v>
      </c>
      <c r="BD187" s="2">
        <f t="shared" si="104"/>
        <v>0</v>
      </c>
      <c r="BE187" s="2"/>
      <c r="BF187" s="2"/>
      <c r="BG187" s="2"/>
      <c r="BH187" s="2"/>
      <c r="BI187" s="2"/>
      <c r="BJ187" s="2"/>
      <c r="BK187" s="2"/>
      <c r="BL187" s="2"/>
      <c r="BM187" s="2"/>
      <c r="BN187" s="2"/>
      <c r="BO187" s="2"/>
      <c r="BP187" s="2"/>
      <c r="BQ187" s="2"/>
      <c r="BR187" s="2"/>
      <c r="BS187" s="2"/>
      <c r="BT187" s="2"/>
      <c r="BU187" s="2"/>
      <c r="BV187" s="2"/>
      <c r="BW187" s="2"/>
      <c r="BX187" s="2">
        <f>ROUND(SUMIF(AA181:AA185,"=65174513",FQ181:FQ185),2)</f>
        <v>0</v>
      </c>
      <c r="BY187" s="2">
        <f>ROUND(SUMIF(AA181:AA185,"=65174513",FR181:FR185),2)</f>
        <v>0</v>
      </c>
      <c r="BZ187" s="2">
        <f>ROUND(SUMIF(AA181:AA185,"=65174513",GL181:GL185),2)</f>
        <v>0</v>
      </c>
      <c r="CA187" s="2">
        <f>ROUND(SUMIF(AA181:AA185,"=65174513",GM181:GM185),2)</f>
        <v>5438892.29</v>
      </c>
      <c r="CB187" s="2">
        <f>ROUND(SUMIF(AA181:AA185,"=65174513",GN181:GN185),2)</f>
        <v>175386.82</v>
      </c>
      <c r="CC187" s="2">
        <f>ROUND(SUMIF(AA181:AA185,"=65174513",GO181:GO185),2)</f>
        <v>5263505.47</v>
      </c>
      <c r="CD187" s="2">
        <f>ROUND(SUMIF(AA181:AA185,"=65174513",GP181:GP185),2)</f>
        <v>0</v>
      </c>
      <c r="CE187" s="2">
        <f>AC187-BX187</f>
        <v>5438892.29</v>
      </c>
      <c r="CF187" s="2">
        <f>AC187-BY187</f>
        <v>5438892.29</v>
      </c>
      <c r="CG187" s="2">
        <f>BX187-BZ187</f>
        <v>0</v>
      </c>
      <c r="CH187" s="2">
        <f>AC187-BX187-BY187+BZ187</f>
        <v>5438892.29</v>
      </c>
      <c r="CI187" s="2">
        <f>BY187-BZ187</f>
        <v>0</v>
      </c>
      <c r="CJ187" s="2">
        <f>ROUND(SUMIF(AA181:AA185,"=65174513",GX181:GX185),2)</f>
        <v>0</v>
      </c>
      <c r="CK187" s="2">
        <f>ROUND(SUMIF(AA181:AA185,"=65174513",GY181:GY185),2)</f>
        <v>0</v>
      </c>
      <c r="CL187" s="2">
        <f>ROUND(SUMIF(AA181:AA185,"=65174513",GZ181:GZ185),2)</f>
        <v>0</v>
      </c>
      <c r="CM187" s="2">
        <f>ROUND(SUMIF(AA181:AA185,"=65174513",HD181:HD185),2)</f>
        <v>0</v>
      </c>
      <c r="CN187" s="2"/>
      <c r="CO187" s="2"/>
      <c r="CP187" s="2"/>
      <c r="CQ187" s="2"/>
      <c r="CR187" s="2"/>
      <c r="CS187" s="2"/>
      <c r="CT187" s="2"/>
      <c r="CU187" s="2"/>
      <c r="CV187" s="2"/>
      <c r="CW187" s="2"/>
      <c r="CX187" s="2"/>
      <c r="CY187" s="2"/>
      <c r="CZ187" s="2"/>
      <c r="DA187" s="2"/>
      <c r="DB187" s="2"/>
      <c r="DC187" s="2"/>
      <c r="DD187" s="2"/>
      <c r="DE187" s="2"/>
      <c r="DF187" s="2"/>
      <c r="DG187" s="3"/>
      <c r="DH187" s="3"/>
      <c r="DI187" s="3"/>
      <c r="DJ187" s="3"/>
      <c r="DK187" s="3"/>
      <c r="DL187" s="3"/>
      <c r="DM187" s="3"/>
      <c r="DN187" s="3"/>
      <c r="DO187" s="3"/>
      <c r="DP187" s="3"/>
      <c r="DQ187" s="3"/>
      <c r="DR187" s="3"/>
      <c r="DS187" s="3"/>
      <c r="DT187" s="3"/>
      <c r="DU187" s="3"/>
      <c r="DV187" s="3"/>
      <c r="DW187" s="3"/>
      <c r="DX187" s="3"/>
      <c r="DY187" s="3"/>
      <c r="DZ187" s="3"/>
      <c r="EA187" s="3"/>
      <c r="EB187" s="3"/>
      <c r="EC187" s="3"/>
      <c r="ED187" s="3"/>
      <c r="EE187" s="3"/>
      <c r="EF187" s="3"/>
      <c r="EG187" s="3"/>
      <c r="EH187" s="3"/>
      <c r="EI187" s="3"/>
      <c r="EJ187" s="3"/>
      <c r="EK187" s="3"/>
      <c r="EL187" s="3"/>
      <c r="EM187" s="3"/>
      <c r="EN187" s="3"/>
      <c r="EO187" s="3"/>
      <c r="EP187" s="3"/>
      <c r="EQ187" s="3"/>
      <c r="ER187" s="3"/>
      <c r="ES187" s="3"/>
      <c r="ET187" s="3"/>
      <c r="EU187" s="3"/>
      <c r="EV187" s="3"/>
      <c r="EW187" s="3"/>
      <c r="EX187" s="3"/>
      <c r="EY187" s="3"/>
      <c r="EZ187" s="3"/>
      <c r="FA187" s="3"/>
      <c r="FB187" s="3"/>
      <c r="FC187" s="3"/>
      <c r="FD187" s="3"/>
      <c r="FE187" s="3"/>
      <c r="FF187" s="3"/>
      <c r="FG187" s="3"/>
      <c r="FH187" s="3"/>
      <c r="FI187" s="3"/>
      <c r="FJ187" s="3"/>
      <c r="FK187" s="3"/>
      <c r="FL187" s="3"/>
      <c r="FM187" s="3"/>
      <c r="FN187" s="3"/>
      <c r="FO187" s="3"/>
      <c r="FP187" s="3"/>
      <c r="FQ187" s="3"/>
      <c r="FR187" s="3"/>
      <c r="FS187" s="3"/>
      <c r="FT187" s="3"/>
      <c r="FU187" s="3"/>
      <c r="FV187" s="3"/>
      <c r="FW187" s="3"/>
      <c r="FX187" s="3"/>
      <c r="FY187" s="3"/>
      <c r="FZ187" s="3"/>
      <c r="GA187" s="3"/>
      <c r="GB187" s="3"/>
      <c r="GC187" s="3"/>
      <c r="GD187" s="3"/>
      <c r="GE187" s="3"/>
      <c r="GF187" s="3"/>
      <c r="GG187" s="3"/>
      <c r="GH187" s="3"/>
      <c r="GI187" s="3"/>
      <c r="GJ187" s="3"/>
      <c r="GK187" s="3"/>
      <c r="GL187" s="3"/>
      <c r="GM187" s="3"/>
      <c r="GN187" s="3"/>
      <c r="GO187" s="3"/>
      <c r="GP187" s="3"/>
      <c r="GQ187" s="3"/>
      <c r="GR187" s="3"/>
      <c r="GS187" s="3"/>
      <c r="GT187" s="3"/>
      <c r="GU187" s="3"/>
      <c r="GV187" s="3"/>
      <c r="GW187" s="3"/>
      <c r="GX187" s="3">
        <v>0</v>
      </c>
    </row>
    <row r="189" spans="1:245" x14ac:dyDescent="0.2">
      <c r="A189" s="4">
        <v>50</v>
      </c>
      <c r="B189" s="4">
        <v>0</v>
      </c>
      <c r="C189" s="4">
        <v>0</v>
      </c>
      <c r="D189" s="4">
        <v>1</v>
      </c>
      <c r="E189" s="4">
        <v>201</v>
      </c>
      <c r="F189" s="4">
        <f>ROUND(Source!O187,O189)</f>
        <v>5438892.29</v>
      </c>
      <c r="G189" s="4" t="s">
        <v>17</v>
      </c>
      <c r="H189" s="4" t="s">
        <v>18</v>
      </c>
      <c r="I189" s="4"/>
      <c r="J189" s="4"/>
      <c r="K189" s="4">
        <v>201</v>
      </c>
      <c r="L189" s="4">
        <v>1</v>
      </c>
      <c r="M189" s="4">
        <v>3</v>
      </c>
      <c r="N189" s="4" t="s">
        <v>3</v>
      </c>
      <c r="O189" s="4">
        <v>2</v>
      </c>
      <c r="P189" s="4"/>
      <c r="Q189" s="4"/>
      <c r="R189" s="4"/>
      <c r="S189" s="4"/>
      <c r="T189" s="4"/>
      <c r="U189" s="4"/>
      <c r="V189" s="4"/>
      <c r="W189" s="4">
        <v>5438892.29</v>
      </c>
      <c r="X189" s="4">
        <v>1</v>
      </c>
      <c r="Y189" s="4">
        <v>5438892.29</v>
      </c>
      <c r="Z189" s="4"/>
      <c r="AA189" s="4"/>
      <c r="AB189" s="4"/>
    </row>
    <row r="190" spans="1:245" x14ac:dyDescent="0.2">
      <c r="A190" s="4">
        <v>50</v>
      </c>
      <c r="B190" s="4">
        <v>0</v>
      </c>
      <c r="C190" s="4">
        <v>0</v>
      </c>
      <c r="D190" s="4">
        <v>1</v>
      </c>
      <c r="E190" s="4">
        <v>202</v>
      </c>
      <c r="F190" s="4">
        <f>ROUND(Source!P187,O190)</f>
        <v>5438892.29</v>
      </c>
      <c r="G190" s="4" t="s">
        <v>19</v>
      </c>
      <c r="H190" s="4" t="s">
        <v>20</v>
      </c>
      <c r="I190" s="4"/>
      <c r="J190" s="4"/>
      <c r="K190" s="4">
        <v>202</v>
      </c>
      <c r="L190" s="4">
        <v>2</v>
      </c>
      <c r="M190" s="4">
        <v>3</v>
      </c>
      <c r="N190" s="4" t="s">
        <v>3</v>
      </c>
      <c r="O190" s="4">
        <v>2</v>
      </c>
      <c r="P190" s="4"/>
      <c r="Q190" s="4"/>
      <c r="R190" s="4"/>
      <c r="S190" s="4"/>
      <c r="T190" s="4"/>
      <c r="U190" s="4"/>
      <c r="V190" s="4"/>
      <c r="W190" s="4">
        <v>5438892.29</v>
      </c>
      <c r="X190" s="4">
        <v>1</v>
      </c>
      <c r="Y190" s="4">
        <v>5438892.29</v>
      </c>
      <c r="Z190" s="4"/>
      <c r="AA190" s="4"/>
      <c r="AB190" s="4"/>
    </row>
    <row r="191" spans="1:245" x14ac:dyDescent="0.2">
      <c r="A191" s="4">
        <v>50</v>
      </c>
      <c r="B191" s="4">
        <v>0</v>
      </c>
      <c r="C191" s="4">
        <v>0</v>
      </c>
      <c r="D191" s="4">
        <v>1</v>
      </c>
      <c r="E191" s="4">
        <v>222</v>
      </c>
      <c r="F191" s="4">
        <f>ROUND(Source!AO187,O191)</f>
        <v>0</v>
      </c>
      <c r="G191" s="4" t="s">
        <v>21</v>
      </c>
      <c r="H191" s="4" t="s">
        <v>22</v>
      </c>
      <c r="I191" s="4"/>
      <c r="J191" s="4"/>
      <c r="K191" s="4">
        <v>222</v>
      </c>
      <c r="L191" s="4">
        <v>3</v>
      </c>
      <c r="M191" s="4">
        <v>3</v>
      </c>
      <c r="N191" s="4" t="s">
        <v>3</v>
      </c>
      <c r="O191" s="4">
        <v>2</v>
      </c>
      <c r="P191" s="4"/>
      <c r="Q191" s="4"/>
      <c r="R191" s="4"/>
      <c r="S191" s="4"/>
      <c r="T191" s="4"/>
      <c r="U191" s="4"/>
      <c r="V191" s="4"/>
      <c r="W191" s="4">
        <v>0</v>
      </c>
      <c r="X191" s="4">
        <v>1</v>
      </c>
      <c r="Y191" s="4">
        <v>0</v>
      </c>
      <c r="Z191" s="4"/>
      <c r="AA191" s="4"/>
      <c r="AB191" s="4"/>
    </row>
    <row r="192" spans="1:245" x14ac:dyDescent="0.2">
      <c r="A192" s="4">
        <v>50</v>
      </c>
      <c r="B192" s="4">
        <v>0</v>
      </c>
      <c r="C192" s="4">
        <v>0</v>
      </c>
      <c r="D192" s="4">
        <v>1</v>
      </c>
      <c r="E192" s="4">
        <v>225</v>
      </c>
      <c r="F192" s="4">
        <f>ROUND(Source!AV187,O192)</f>
        <v>5438892.29</v>
      </c>
      <c r="G192" s="4" t="s">
        <v>23</v>
      </c>
      <c r="H192" s="4" t="s">
        <v>24</v>
      </c>
      <c r="I192" s="4"/>
      <c r="J192" s="4"/>
      <c r="K192" s="4">
        <v>225</v>
      </c>
      <c r="L192" s="4">
        <v>4</v>
      </c>
      <c r="M192" s="4">
        <v>3</v>
      </c>
      <c r="N192" s="4" t="s">
        <v>3</v>
      </c>
      <c r="O192" s="4">
        <v>2</v>
      </c>
      <c r="P192" s="4"/>
      <c r="Q192" s="4"/>
      <c r="R192" s="4"/>
      <c r="S192" s="4"/>
      <c r="T192" s="4"/>
      <c r="U192" s="4"/>
      <c r="V192" s="4"/>
      <c r="W192" s="4">
        <v>5438892.29</v>
      </c>
      <c r="X192" s="4">
        <v>1</v>
      </c>
      <c r="Y192" s="4">
        <v>5438892.29</v>
      </c>
      <c r="Z192" s="4"/>
      <c r="AA192" s="4"/>
      <c r="AB192" s="4"/>
    </row>
    <row r="193" spans="1:28" x14ac:dyDescent="0.2">
      <c r="A193" s="4">
        <v>50</v>
      </c>
      <c r="B193" s="4">
        <v>0</v>
      </c>
      <c r="C193" s="4">
        <v>0</v>
      </c>
      <c r="D193" s="4">
        <v>1</v>
      </c>
      <c r="E193" s="4">
        <v>226</v>
      </c>
      <c r="F193" s="4">
        <f>ROUND(Source!AW187,O193)</f>
        <v>5438892.29</v>
      </c>
      <c r="G193" s="4" t="s">
        <v>25</v>
      </c>
      <c r="H193" s="4" t="s">
        <v>26</v>
      </c>
      <c r="I193" s="4"/>
      <c r="J193" s="4"/>
      <c r="K193" s="4">
        <v>226</v>
      </c>
      <c r="L193" s="4">
        <v>5</v>
      </c>
      <c r="M193" s="4">
        <v>3</v>
      </c>
      <c r="N193" s="4" t="s">
        <v>3</v>
      </c>
      <c r="O193" s="4">
        <v>2</v>
      </c>
      <c r="P193" s="4"/>
      <c r="Q193" s="4"/>
      <c r="R193" s="4"/>
      <c r="S193" s="4"/>
      <c r="T193" s="4"/>
      <c r="U193" s="4"/>
      <c r="V193" s="4"/>
      <c r="W193" s="4">
        <v>5438892.29</v>
      </c>
      <c r="X193" s="4">
        <v>1</v>
      </c>
      <c r="Y193" s="4">
        <v>5438892.29</v>
      </c>
      <c r="Z193" s="4"/>
      <c r="AA193" s="4"/>
      <c r="AB193" s="4"/>
    </row>
    <row r="194" spans="1:28" x14ac:dyDescent="0.2">
      <c r="A194" s="4">
        <v>50</v>
      </c>
      <c r="B194" s="4">
        <v>0</v>
      </c>
      <c r="C194" s="4">
        <v>0</v>
      </c>
      <c r="D194" s="4">
        <v>1</v>
      </c>
      <c r="E194" s="4">
        <v>227</v>
      </c>
      <c r="F194" s="4">
        <f>ROUND(Source!AX187,O194)</f>
        <v>0</v>
      </c>
      <c r="G194" s="4" t="s">
        <v>27</v>
      </c>
      <c r="H194" s="4" t="s">
        <v>28</v>
      </c>
      <c r="I194" s="4"/>
      <c r="J194" s="4"/>
      <c r="K194" s="4">
        <v>227</v>
      </c>
      <c r="L194" s="4">
        <v>6</v>
      </c>
      <c r="M194" s="4">
        <v>3</v>
      </c>
      <c r="N194" s="4" t="s">
        <v>3</v>
      </c>
      <c r="O194" s="4">
        <v>2</v>
      </c>
      <c r="P194" s="4"/>
      <c r="Q194" s="4"/>
      <c r="R194" s="4"/>
      <c r="S194" s="4"/>
      <c r="T194" s="4"/>
      <c r="U194" s="4"/>
      <c r="V194" s="4"/>
      <c r="W194" s="4">
        <v>0</v>
      </c>
      <c r="X194" s="4">
        <v>1</v>
      </c>
      <c r="Y194" s="4">
        <v>0</v>
      </c>
      <c r="Z194" s="4"/>
      <c r="AA194" s="4"/>
      <c r="AB194" s="4"/>
    </row>
    <row r="195" spans="1:28" x14ac:dyDescent="0.2">
      <c r="A195" s="4">
        <v>50</v>
      </c>
      <c r="B195" s="4">
        <v>0</v>
      </c>
      <c r="C195" s="4">
        <v>0</v>
      </c>
      <c r="D195" s="4">
        <v>1</v>
      </c>
      <c r="E195" s="4">
        <v>228</v>
      </c>
      <c r="F195" s="4">
        <f>ROUND(Source!AY187,O195)</f>
        <v>5438892.29</v>
      </c>
      <c r="G195" s="4" t="s">
        <v>29</v>
      </c>
      <c r="H195" s="4" t="s">
        <v>30</v>
      </c>
      <c r="I195" s="4"/>
      <c r="J195" s="4"/>
      <c r="K195" s="4">
        <v>228</v>
      </c>
      <c r="L195" s="4">
        <v>7</v>
      </c>
      <c r="M195" s="4">
        <v>3</v>
      </c>
      <c r="N195" s="4" t="s">
        <v>3</v>
      </c>
      <c r="O195" s="4">
        <v>2</v>
      </c>
      <c r="P195" s="4"/>
      <c r="Q195" s="4"/>
      <c r="R195" s="4"/>
      <c r="S195" s="4"/>
      <c r="T195" s="4"/>
      <c r="U195" s="4"/>
      <c r="V195" s="4"/>
      <c r="W195" s="4">
        <v>5438892.29</v>
      </c>
      <c r="X195" s="4">
        <v>1</v>
      </c>
      <c r="Y195" s="4">
        <v>5438892.29</v>
      </c>
      <c r="Z195" s="4"/>
      <c r="AA195" s="4"/>
      <c r="AB195" s="4"/>
    </row>
    <row r="196" spans="1:28" x14ac:dyDescent="0.2">
      <c r="A196" s="4">
        <v>50</v>
      </c>
      <c r="B196" s="4">
        <v>0</v>
      </c>
      <c r="C196" s="4">
        <v>0</v>
      </c>
      <c r="D196" s="4">
        <v>1</v>
      </c>
      <c r="E196" s="4">
        <v>216</v>
      </c>
      <c r="F196" s="4">
        <f>ROUND(Source!AP187,O196)</f>
        <v>0</v>
      </c>
      <c r="G196" s="4" t="s">
        <v>31</v>
      </c>
      <c r="H196" s="4" t="s">
        <v>32</v>
      </c>
      <c r="I196" s="4"/>
      <c r="J196" s="4"/>
      <c r="K196" s="4">
        <v>216</v>
      </c>
      <c r="L196" s="4">
        <v>8</v>
      </c>
      <c r="M196" s="4">
        <v>3</v>
      </c>
      <c r="N196" s="4" t="s">
        <v>3</v>
      </c>
      <c r="O196" s="4">
        <v>2</v>
      </c>
      <c r="P196" s="4"/>
      <c r="Q196" s="4"/>
      <c r="R196" s="4"/>
      <c r="S196" s="4"/>
      <c r="T196" s="4"/>
      <c r="U196" s="4"/>
      <c r="V196" s="4"/>
      <c r="W196" s="4">
        <v>0</v>
      </c>
      <c r="X196" s="4">
        <v>1</v>
      </c>
      <c r="Y196" s="4">
        <v>0</v>
      </c>
      <c r="Z196" s="4"/>
      <c r="AA196" s="4"/>
      <c r="AB196" s="4"/>
    </row>
    <row r="197" spans="1:28" x14ac:dyDescent="0.2">
      <c r="A197" s="4">
        <v>50</v>
      </c>
      <c r="B197" s="4">
        <v>0</v>
      </c>
      <c r="C197" s="4">
        <v>0</v>
      </c>
      <c r="D197" s="4">
        <v>1</v>
      </c>
      <c r="E197" s="4">
        <v>223</v>
      </c>
      <c r="F197" s="4">
        <f>ROUND(Source!AQ187,O197)</f>
        <v>0</v>
      </c>
      <c r="G197" s="4" t="s">
        <v>33</v>
      </c>
      <c r="H197" s="4" t="s">
        <v>34</v>
      </c>
      <c r="I197" s="4"/>
      <c r="J197" s="4"/>
      <c r="K197" s="4">
        <v>223</v>
      </c>
      <c r="L197" s="4">
        <v>9</v>
      </c>
      <c r="M197" s="4">
        <v>3</v>
      </c>
      <c r="N197" s="4" t="s">
        <v>3</v>
      </c>
      <c r="O197" s="4">
        <v>2</v>
      </c>
      <c r="P197" s="4"/>
      <c r="Q197" s="4"/>
      <c r="R197" s="4"/>
      <c r="S197" s="4"/>
      <c r="T197" s="4"/>
      <c r="U197" s="4"/>
      <c r="V197" s="4"/>
      <c r="W197" s="4">
        <v>0</v>
      </c>
      <c r="X197" s="4">
        <v>1</v>
      </c>
      <c r="Y197" s="4">
        <v>0</v>
      </c>
      <c r="Z197" s="4"/>
      <c r="AA197" s="4"/>
      <c r="AB197" s="4"/>
    </row>
    <row r="198" spans="1:28" x14ac:dyDescent="0.2">
      <c r="A198" s="4">
        <v>50</v>
      </c>
      <c r="B198" s="4">
        <v>0</v>
      </c>
      <c r="C198" s="4">
        <v>0</v>
      </c>
      <c r="D198" s="4">
        <v>1</v>
      </c>
      <c r="E198" s="4">
        <v>229</v>
      </c>
      <c r="F198" s="4">
        <f>ROUND(Source!AZ187,O198)</f>
        <v>0</v>
      </c>
      <c r="G198" s="4" t="s">
        <v>35</v>
      </c>
      <c r="H198" s="4" t="s">
        <v>36</v>
      </c>
      <c r="I198" s="4"/>
      <c r="J198" s="4"/>
      <c r="K198" s="4">
        <v>229</v>
      </c>
      <c r="L198" s="4">
        <v>10</v>
      </c>
      <c r="M198" s="4">
        <v>3</v>
      </c>
      <c r="N198" s="4" t="s">
        <v>3</v>
      </c>
      <c r="O198" s="4">
        <v>2</v>
      </c>
      <c r="P198" s="4"/>
      <c r="Q198" s="4"/>
      <c r="R198" s="4"/>
      <c r="S198" s="4"/>
      <c r="T198" s="4"/>
      <c r="U198" s="4"/>
      <c r="V198" s="4"/>
      <c r="W198" s="4">
        <v>0</v>
      </c>
      <c r="X198" s="4">
        <v>1</v>
      </c>
      <c r="Y198" s="4">
        <v>0</v>
      </c>
      <c r="Z198" s="4"/>
      <c r="AA198" s="4"/>
      <c r="AB198" s="4"/>
    </row>
    <row r="199" spans="1:28" x14ac:dyDescent="0.2">
      <c r="A199" s="4">
        <v>50</v>
      </c>
      <c r="B199" s="4">
        <v>0</v>
      </c>
      <c r="C199" s="4">
        <v>0</v>
      </c>
      <c r="D199" s="4">
        <v>1</v>
      </c>
      <c r="E199" s="4">
        <v>203</v>
      </c>
      <c r="F199" s="4">
        <f>ROUND(Source!Q187,O199)</f>
        <v>0</v>
      </c>
      <c r="G199" s="4" t="s">
        <v>37</v>
      </c>
      <c r="H199" s="4" t="s">
        <v>38</v>
      </c>
      <c r="I199" s="4"/>
      <c r="J199" s="4"/>
      <c r="K199" s="4">
        <v>203</v>
      </c>
      <c r="L199" s="4">
        <v>11</v>
      </c>
      <c r="M199" s="4">
        <v>3</v>
      </c>
      <c r="N199" s="4" t="s">
        <v>3</v>
      </c>
      <c r="O199" s="4">
        <v>2</v>
      </c>
      <c r="P199" s="4"/>
      <c r="Q199" s="4"/>
      <c r="R199" s="4"/>
      <c r="S199" s="4"/>
      <c r="T199" s="4"/>
      <c r="U199" s="4"/>
      <c r="V199" s="4"/>
      <c r="W199" s="4">
        <v>0</v>
      </c>
      <c r="X199" s="4">
        <v>1</v>
      </c>
      <c r="Y199" s="4">
        <v>0</v>
      </c>
      <c r="Z199" s="4"/>
      <c r="AA199" s="4"/>
      <c r="AB199" s="4"/>
    </row>
    <row r="200" spans="1:28" x14ac:dyDescent="0.2">
      <c r="A200" s="4">
        <v>50</v>
      </c>
      <c r="B200" s="4">
        <v>0</v>
      </c>
      <c r="C200" s="4">
        <v>0</v>
      </c>
      <c r="D200" s="4">
        <v>1</v>
      </c>
      <c r="E200" s="4">
        <v>231</v>
      </c>
      <c r="F200" s="4">
        <f>ROUND(Source!BB187,O200)</f>
        <v>0</v>
      </c>
      <c r="G200" s="4" t="s">
        <v>39</v>
      </c>
      <c r="H200" s="4" t="s">
        <v>40</v>
      </c>
      <c r="I200" s="4"/>
      <c r="J200" s="4"/>
      <c r="K200" s="4">
        <v>231</v>
      </c>
      <c r="L200" s="4">
        <v>12</v>
      </c>
      <c r="M200" s="4">
        <v>3</v>
      </c>
      <c r="N200" s="4" t="s">
        <v>3</v>
      </c>
      <c r="O200" s="4">
        <v>2</v>
      </c>
      <c r="P200" s="4"/>
      <c r="Q200" s="4"/>
      <c r="R200" s="4"/>
      <c r="S200" s="4"/>
      <c r="T200" s="4"/>
      <c r="U200" s="4"/>
      <c r="V200" s="4"/>
      <c r="W200" s="4">
        <v>0</v>
      </c>
      <c r="X200" s="4">
        <v>1</v>
      </c>
      <c r="Y200" s="4">
        <v>0</v>
      </c>
      <c r="Z200" s="4"/>
      <c r="AA200" s="4"/>
      <c r="AB200" s="4"/>
    </row>
    <row r="201" spans="1:28" x14ac:dyDescent="0.2">
      <c r="A201" s="4">
        <v>50</v>
      </c>
      <c r="B201" s="4">
        <v>0</v>
      </c>
      <c r="C201" s="4">
        <v>0</v>
      </c>
      <c r="D201" s="4">
        <v>1</v>
      </c>
      <c r="E201" s="4">
        <v>204</v>
      </c>
      <c r="F201" s="4">
        <f>ROUND(Source!R187,O201)</f>
        <v>0</v>
      </c>
      <c r="G201" s="4" t="s">
        <v>41</v>
      </c>
      <c r="H201" s="4" t="s">
        <v>42</v>
      </c>
      <c r="I201" s="4"/>
      <c r="J201" s="4"/>
      <c r="K201" s="4">
        <v>204</v>
      </c>
      <c r="L201" s="4">
        <v>13</v>
      </c>
      <c r="M201" s="4">
        <v>3</v>
      </c>
      <c r="N201" s="4" t="s">
        <v>3</v>
      </c>
      <c r="O201" s="4">
        <v>2</v>
      </c>
      <c r="P201" s="4"/>
      <c r="Q201" s="4"/>
      <c r="R201" s="4"/>
      <c r="S201" s="4"/>
      <c r="T201" s="4"/>
      <c r="U201" s="4"/>
      <c r="V201" s="4"/>
      <c r="W201" s="4">
        <v>0</v>
      </c>
      <c r="X201" s="4">
        <v>1</v>
      </c>
      <c r="Y201" s="4">
        <v>0</v>
      </c>
      <c r="Z201" s="4"/>
      <c r="AA201" s="4"/>
      <c r="AB201" s="4"/>
    </row>
    <row r="202" spans="1:28" x14ac:dyDescent="0.2">
      <c r="A202" s="4">
        <v>50</v>
      </c>
      <c r="B202" s="4">
        <v>0</v>
      </c>
      <c r="C202" s="4">
        <v>0</v>
      </c>
      <c r="D202" s="4">
        <v>1</v>
      </c>
      <c r="E202" s="4">
        <v>205</v>
      </c>
      <c r="F202" s="4">
        <f>ROUND(Source!S187,O202)</f>
        <v>0</v>
      </c>
      <c r="G202" s="4" t="s">
        <v>43</v>
      </c>
      <c r="H202" s="4" t="s">
        <v>44</v>
      </c>
      <c r="I202" s="4"/>
      <c r="J202" s="4"/>
      <c r="K202" s="4">
        <v>205</v>
      </c>
      <c r="L202" s="4">
        <v>14</v>
      </c>
      <c r="M202" s="4">
        <v>3</v>
      </c>
      <c r="N202" s="4" t="s">
        <v>3</v>
      </c>
      <c r="O202" s="4">
        <v>2</v>
      </c>
      <c r="P202" s="4"/>
      <c r="Q202" s="4"/>
      <c r="R202" s="4"/>
      <c r="S202" s="4"/>
      <c r="T202" s="4"/>
      <c r="U202" s="4"/>
      <c r="V202" s="4"/>
      <c r="W202" s="4">
        <v>0</v>
      </c>
      <c r="X202" s="4">
        <v>1</v>
      </c>
      <c r="Y202" s="4">
        <v>0</v>
      </c>
      <c r="Z202" s="4"/>
      <c r="AA202" s="4"/>
      <c r="AB202" s="4"/>
    </row>
    <row r="203" spans="1:28" x14ac:dyDescent="0.2">
      <c r="A203" s="4">
        <v>50</v>
      </c>
      <c r="B203" s="4">
        <v>0</v>
      </c>
      <c r="C203" s="4">
        <v>0</v>
      </c>
      <c r="D203" s="4">
        <v>1</v>
      </c>
      <c r="E203" s="4">
        <v>232</v>
      </c>
      <c r="F203" s="4">
        <f>ROUND(Source!BC187,O203)</f>
        <v>0</v>
      </c>
      <c r="G203" s="4" t="s">
        <v>45</v>
      </c>
      <c r="H203" s="4" t="s">
        <v>46</v>
      </c>
      <c r="I203" s="4"/>
      <c r="J203" s="4"/>
      <c r="K203" s="4">
        <v>232</v>
      </c>
      <c r="L203" s="4">
        <v>15</v>
      </c>
      <c r="M203" s="4">
        <v>3</v>
      </c>
      <c r="N203" s="4" t="s">
        <v>3</v>
      </c>
      <c r="O203" s="4">
        <v>2</v>
      </c>
      <c r="P203" s="4"/>
      <c r="Q203" s="4"/>
      <c r="R203" s="4"/>
      <c r="S203" s="4"/>
      <c r="T203" s="4"/>
      <c r="U203" s="4"/>
      <c r="V203" s="4"/>
      <c r="W203" s="4">
        <v>0</v>
      </c>
      <c r="X203" s="4">
        <v>1</v>
      </c>
      <c r="Y203" s="4">
        <v>0</v>
      </c>
      <c r="Z203" s="4"/>
      <c r="AA203" s="4"/>
      <c r="AB203" s="4"/>
    </row>
    <row r="204" spans="1:28" x14ac:dyDescent="0.2">
      <c r="A204" s="4">
        <v>50</v>
      </c>
      <c r="B204" s="4">
        <v>0</v>
      </c>
      <c r="C204" s="4">
        <v>0</v>
      </c>
      <c r="D204" s="4">
        <v>1</v>
      </c>
      <c r="E204" s="4">
        <v>214</v>
      </c>
      <c r="F204" s="4">
        <f>ROUND(Source!AS187,O204)</f>
        <v>175386.82</v>
      </c>
      <c r="G204" s="4" t="s">
        <v>47</v>
      </c>
      <c r="H204" s="4" t="s">
        <v>48</v>
      </c>
      <c r="I204" s="4"/>
      <c r="J204" s="4"/>
      <c r="K204" s="4">
        <v>214</v>
      </c>
      <c r="L204" s="4">
        <v>16</v>
      </c>
      <c r="M204" s="4">
        <v>3</v>
      </c>
      <c r="N204" s="4" t="s">
        <v>3</v>
      </c>
      <c r="O204" s="4">
        <v>2</v>
      </c>
      <c r="P204" s="4"/>
      <c r="Q204" s="4"/>
      <c r="R204" s="4"/>
      <c r="S204" s="4"/>
      <c r="T204" s="4"/>
      <c r="U204" s="4"/>
      <c r="V204" s="4"/>
      <c r="W204" s="4">
        <v>175386.82</v>
      </c>
      <c r="X204" s="4">
        <v>1</v>
      </c>
      <c r="Y204" s="4">
        <v>175386.82</v>
      </c>
      <c r="Z204" s="4"/>
      <c r="AA204" s="4"/>
      <c r="AB204" s="4"/>
    </row>
    <row r="205" spans="1:28" x14ac:dyDescent="0.2">
      <c r="A205" s="4">
        <v>50</v>
      </c>
      <c r="B205" s="4">
        <v>0</v>
      </c>
      <c r="C205" s="4">
        <v>0</v>
      </c>
      <c r="D205" s="4">
        <v>1</v>
      </c>
      <c r="E205" s="4">
        <v>215</v>
      </c>
      <c r="F205" s="4">
        <f>ROUND(Source!AT187,O205)</f>
        <v>5263505.47</v>
      </c>
      <c r="G205" s="4" t="s">
        <v>49</v>
      </c>
      <c r="H205" s="4" t="s">
        <v>50</v>
      </c>
      <c r="I205" s="4"/>
      <c r="J205" s="4"/>
      <c r="K205" s="4">
        <v>215</v>
      </c>
      <c r="L205" s="4">
        <v>17</v>
      </c>
      <c r="M205" s="4">
        <v>3</v>
      </c>
      <c r="N205" s="4" t="s">
        <v>3</v>
      </c>
      <c r="O205" s="4">
        <v>2</v>
      </c>
      <c r="P205" s="4"/>
      <c r="Q205" s="4"/>
      <c r="R205" s="4"/>
      <c r="S205" s="4"/>
      <c r="T205" s="4"/>
      <c r="U205" s="4"/>
      <c r="V205" s="4"/>
      <c r="W205" s="4">
        <v>5263505.47</v>
      </c>
      <c r="X205" s="4">
        <v>1</v>
      </c>
      <c r="Y205" s="4">
        <v>5263505.47</v>
      </c>
      <c r="Z205" s="4"/>
      <c r="AA205" s="4"/>
      <c r="AB205" s="4"/>
    </row>
    <row r="206" spans="1:28" x14ac:dyDescent="0.2">
      <c r="A206" s="4">
        <v>50</v>
      </c>
      <c r="B206" s="4">
        <v>0</v>
      </c>
      <c r="C206" s="4">
        <v>0</v>
      </c>
      <c r="D206" s="4">
        <v>1</v>
      </c>
      <c r="E206" s="4">
        <v>217</v>
      </c>
      <c r="F206" s="4">
        <f>ROUND(Source!AU187,O206)</f>
        <v>0</v>
      </c>
      <c r="G206" s="4" t="s">
        <v>51</v>
      </c>
      <c r="H206" s="4" t="s">
        <v>52</v>
      </c>
      <c r="I206" s="4"/>
      <c r="J206" s="4"/>
      <c r="K206" s="4">
        <v>217</v>
      </c>
      <c r="L206" s="4">
        <v>18</v>
      </c>
      <c r="M206" s="4">
        <v>3</v>
      </c>
      <c r="N206" s="4" t="s">
        <v>3</v>
      </c>
      <c r="O206" s="4">
        <v>2</v>
      </c>
      <c r="P206" s="4"/>
      <c r="Q206" s="4"/>
      <c r="R206" s="4"/>
      <c r="S206" s="4"/>
      <c r="T206" s="4"/>
      <c r="U206" s="4"/>
      <c r="V206" s="4"/>
      <c r="W206" s="4">
        <v>0</v>
      </c>
      <c r="X206" s="4">
        <v>1</v>
      </c>
      <c r="Y206" s="4">
        <v>0</v>
      </c>
      <c r="Z206" s="4"/>
      <c r="AA206" s="4"/>
      <c r="AB206" s="4"/>
    </row>
    <row r="207" spans="1:28" x14ac:dyDescent="0.2">
      <c r="A207" s="4">
        <v>50</v>
      </c>
      <c r="B207" s="4">
        <v>0</v>
      </c>
      <c r="C207" s="4">
        <v>0</v>
      </c>
      <c r="D207" s="4">
        <v>1</v>
      </c>
      <c r="E207" s="4">
        <v>230</v>
      </c>
      <c r="F207" s="4">
        <f>ROUND(Source!BA187,O207)</f>
        <v>0</v>
      </c>
      <c r="G207" s="4" t="s">
        <v>53</v>
      </c>
      <c r="H207" s="4" t="s">
        <v>54</v>
      </c>
      <c r="I207" s="4"/>
      <c r="J207" s="4"/>
      <c r="K207" s="4">
        <v>230</v>
      </c>
      <c r="L207" s="4">
        <v>19</v>
      </c>
      <c r="M207" s="4">
        <v>3</v>
      </c>
      <c r="N207" s="4" t="s">
        <v>3</v>
      </c>
      <c r="O207" s="4">
        <v>2</v>
      </c>
      <c r="P207" s="4"/>
      <c r="Q207" s="4"/>
      <c r="R207" s="4"/>
      <c r="S207" s="4"/>
      <c r="T207" s="4"/>
      <c r="U207" s="4"/>
      <c r="V207" s="4"/>
      <c r="W207" s="4">
        <v>0</v>
      </c>
      <c r="X207" s="4">
        <v>1</v>
      </c>
      <c r="Y207" s="4">
        <v>0</v>
      </c>
      <c r="Z207" s="4"/>
      <c r="AA207" s="4"/>
      <c r="AB207" s="4"/>
    </row>
    <row r="208" spans="1:28" x14ac:dyDescent="0.2">
      <c r="A208" s="4">
        <v>50</v>
      </c>
      <c r="B208" s="4">
        <v>0</v>
      </c>
      <c r="C208" s="4">
        <v>0</v>
      </c>
      <c r="D208" s="4">
        <v>1</v>
      </c>
      <c r="E208" s="4">
        <v>206</v>
      </c>
      <c r="F208" s="4">
        <f>ROUND(Source!T187,O208)</f>
        <v>0</v>
      </c>
      <c r="G208" s="4" t="s">
        <v>55</v>
      </c>
      <c r="H208" s="4" t="s">
        <v>56</v>
      </c>
      <c r="I208" s="4"/>
      <c r="J208" s="4"/>
      <c r="K208" s="4">
        <v>206</v>
      </c>
      <c r="L208" s="4">
        <v>20</v>
      </c>
      <c r="M208" s="4">
        <v>3</v>
      </c>
      <c r="N208" s="4" t="s">
        <v>3</v>
      </c>
      <c r="O208" s="4">
        <v>2</v>
      </c>
      <c r="P208" s="4"/>
      <c r="Q208" s="4"/>
      <c r="R208" s="4"/>
      <c r="S208" s="4"/>
      <c r="T208" s="4"/>
      <c r="U208" s="4"/>
      <c r="V208" s="4"/>
      <c r="W208" s="4">
        <v>0</v>
      </c>
      <c r="X208" s="4">
        <v>1</v>
      </c>
      <c r="Y208" s="4">
        <v>0</v>
      </c>
      <c r="Z208" s="4"/>
      <c r="AA208" s="4"/>
      <c r="AB208" s="4"/>
    </row>
    <row r="209" spans="1:245" x14ac:dyDescent="0.2">
      <c r="A209" s="4">
        <v>50</v>
      </c>
      <c r="B209" s="4">
        <v>0</v>
      </c>
      <c r="C209" s="4">
        <v>0</v>
      </c>
      <c r="D209" s="4">
        <v>1</v>
      </c>
      <c r="E209" s="4">
        <v>207</v>
      </c>
      <c r="F209" s="4">
        <f>ROUND(Source!U187,O209)</f>
        <v>0</v>
      </c>
      <c r="G209" s="4" t="s">
        <v>57</v>
      </c>
      <c r="H209" s="4" t="s">
        <v>58</v>
      </c>
      <c r="I209" s="4"/>
      <c r="J209" s="4"/>
      <c r="K209" s="4">
        <v>207</v>
      </c>
      <c r="L209" s="4">
        <v>21</v>
      </c>
      <c r="M209" s="4">
        <v>3</v>
      </c>
      <c r="N209" s="4" t="s">
        <v>3</v>
      </c>
      <c r="O209" s="4">
        <v>7</v>
      </c>
      <c r="P209" s="4"/>
      <c r="Q209" s="4"/>
      <c r="R209" s="4"/>
      <c r="S209" s="4"/>
      <c r="T209" s="4"/>
      <c r="U209" s="4"/>
      <c r="V209" s="4"/>
      <c r="W209" s="4">
        <v>0</v>
      </c>
      <c r="X209" s="4">
        <v>1</v>
      </c>
      <c r="Y209" s="4">
        <v>0</v>
      </c>
      <c r="Z209" s="4"/>
      <c r="AA209" s="4"/>
      <c r="AB209" s="4"/>
    </row>
    <row r="210" spans="1:245" x14ac:dyDescent="0.2">
      <c r="A210" s="4">
        <v>50</v>
      </c>
      <c r="B210" s="4">
        <v>0</v>
      </c>
      <c r="C210" s="4">
        <v>0</v>
      </c>
      <c r="D210" s="4">
        <v>1</v>
      </c>
      <c r="E210" s="4">
        <v>208</v>
      </c>
      <c r="F210" s="4">
        <f>ROUND(Source!V187,O210)</f>
        <v>0</v>
      </c>
      <c r="G210" s="4" t="s">
        <v>59</v>
      </c>
      <c r="H210" s="4" t="s">
        <v>60</v>
      </c>
      <c r="I210" s="4"/>
      <c r="J210" s="4"/>
      <c r="K210" s="4">
        <v>208</v>
      </c>
      <c r="L210" s="4">
        <v>22</v>
      </c>
      <c r="M210" s="4">
        <v>3</v>
      </c>
      <c r="N210" s="4" t="s">
        <v>3</v>
      </c>
      <c r="O210" s="4">
        <v>7</v>
      </c>
      <c r="P210" s="4"/>
      <c r="Q210" s="4"/>
      <c r="R210" s="4"/>
      <c r="S210" s="4"/>
      <c r="T210" s="4"/>
      <c r="U210" s="4"/>
      <c r="V210" s="4"/>
      <c r="W210" s="4">
        <v>0</v>
      </c>
      <c r="X210" s="4">
        <v>1</v>
      </c>
      <c r="Y210" s="4">
        <v>0</v>
      </c>
      <c r="Z210" s="4"/>
      <c r="AA210" s="4"/>
      <c r="AB210" s="4"/>
    </row>
    <row r="211" spans="1:245" x14ac:dyDescent="0.2">
      <c r="A211" s="4">
        <v>50</v>
      </c>
      <c r="B211" s="4">
        <v>0</v>
      </c>
      <c r="C211" s="4">
        <v>0</v>
      </c>
      <c r="D211" s="4">
        <v>1</v>
      </c>
      <c r="E211" s="4">
        <v>209</v>
      </c>
      <c r="F211" s="4">
        <f>ROUND(Source!W187,O211)</f>
        <v>0</v>
      </c>
      <c r="G211" s="4" t="s">
        <v>61</v>
      </c>
      <c r="H211" s="4" t="s">
        <v>62</v>
      </c>
      <c r="I211" s="4"/>
      <c r="J211" s="4"/>
      <c r="K211" s="4">
        <v>209</v>
      </c>
      <c r="L211" s="4">
        <v>23</v>
      </c>
      <c r="M211" s="4">
        <v>3</v>
      </c>
      <c r="N211" s="4" t="s">
        <v>3</v>
      </c>
      <c r="O211" s="4">
        <v>2</v>
      </c>
      <c r="P211" s="4"/>
      <c r="Q211" s="4"/>
      <c r="R211" s="4"/>
      <c r="S211" s="4"/>
      <c r="T211" s="4"/>
      <c r="U211" s="4"/>
      <c r="V211" s="4"/>
      <c r="W211" s="4">
        <v>0</v>
      </c>
      <c r="X211" s="4">
        <v>1</v>
      </c>
      <c r="Y211" s="4">
        <v>0</v>
      </c>
      <c r="Z211" s="4"/>
      <c r="AA211" s="4"/>
      <c r="AB211" s="4"/>
    </row>
    <row r="212" spans="1:245" x14ac:dyDescent="0.2">
      <c r="A212" s="4">
        <v>50</v>
      </c>
      <c r="B212" s="4">
        <v>0</v>
      </c>
      <c r="C212" s="4">
        <v>0</v>
      </c>
      <c r="D212" s="4">
        <v>1</v>
      </c>
      <c r="E212" s="4">
        <v>233</v>
      </c>
      <c r="F212" s="4">
        <f>ROUND(Source!BD187,O212)</f>
        <v>0</v>
      </c>
      <c r="G212" s="4" t="s">
        <v>63</v>
      </c>
      <c r="H212" s="4" t="s">
        <v>64</v>
      </c>
      <c r="I212" s="4"/>
      <c r="J212" s="4"/>
      <c r="K212" s="4">
        <v>233</v>
      </c>
      <c r="L212" s="4">
        <v>24</v>
      </c>
      <c r="M212" s="4">
        <v>3</v>
      </c>
      <c r="N212" s="4" t="s">
        <v>3</v>
      </c>
      <c r="O212" s="4">
        <v>2</v>
      </c>
      <c r="P212" s="4"/>
      <c r="Q212" s="4"/>
      <c r="R212" s="4"/>
      <c r="S212" s="4"/>
      <c r="T212" s="4"/>
      <c r="U212" s="4"/>
      <c r="V212" s="4"/>
      <c r="W212" s="4">
        <v>0</v>
      </c>
      <c r="X212" s="4">
        <v>1</v>
      </c>
      <c r="Y212" s="4">
        <v>0</v>
      </c>
      <c r="Z212" s="4"/>
      <c r="AA212" s="4"/>
      <c r="AB212" s="4"/>
    </row>
    <row r="213" spans="1:245" x14ac:dyDescent="0.2">
      <c r="A213" s="4">
        <v>50</v>
      </c>
      <c r="B213" s="4">
        <v>0</v>
      </c>
      <c r="C213" s="4">
        <v>0</v>
      </c>
      <c r="D213" s="4">
        <v>1</v>
      </c>
      <c r="E213" s="4">
        <v>210</v>
      </c>
      <c r="F213" s="4">
        <f>ROUND(Source!X187,O213)</f>
        <v>0</v>
      </c>
      <c r="G213" s="4" t="s">
        <v>65</v>
      </c>
      <c r="H213" s="4" t="s">
        <v>66</v>
      </c>
      <c r="I213" s="4"/>
      <c r="J213" s="4"/>
      <c r="K213" s="4">
        <v>210</v>
      </c>
      <c r="L213" s="4">
        <v>25</v>
      </c>
      <c r="M213" s="4">
        <v>3</v>
      </c>
      <c r="N213" s="4" t="s">
        <v>3</v>
      </c>
      <c r="O213" s="4">
        <v>2</v>
      </c>
      <c r="P213" s="4"/>
      <c r="Q213" s="4"/>
      <c r="R213" s="4"/>
      <c r="S213" s="4"/>
      <c r="T213" s="4"/>
      <c r="U213" s="4"/>
      <c r="V213" s="4"/>
      <c r="W213" s="4">
        <v>0</v>
      </c>
      <c r="X213" s="4">
        <v>1</v>
      </c>
      <c r="Y213" s="4">
        <v>0</v>
      </c>
      <c r="Z213" s="4"/>
      <c r="AA213" s="4"/>
      <c r="AB213" s="4"/>
    </row>
    <row r="214" spans="1:245" x14ac:dyDescent="0.2">
      <c r="A214" s="4">
        <v>50</v>
      </c>
      <c r="B214" s="4">
        <v>0</v>
      </c>
      <c r="C214" s="4">
        <v>0</v>
      </c>
      <c r="D214" s="4">
        <v>1</v>
      </c>
      <c r="E214" s="4">
        <v>211</v>
      </c>
      <c r="F214" s="4">
        <f>ROUND(Source!Y187,O214)</f>
        <v>0</v>
      </c>
      <c r="G214" s="4" t="s">
        <v>67</v>
      </c>
      <c r="H214" s="4" t="s">
        <v>68</v>
      </c>
      <c r="I214" s="4"/>
      <c r="J214" s="4"/>
      <c r="K214" s="4">
        <v>211</v>
      </c>
      <c r="L214" s="4">
        <v>26</v>
      </c>
      <c r="M214" s="4">
        <v>3</v>
      </c>
      <c r="N214" s="4" t="s">
        <v>3</v>
      </c>
      <c r="O214" s="4">
        <v>2</v>
      </c>
      <c r="P214" s="4"/>
      <c r="Q214" s="4"/>
      <c r="R214" s="4"/>
      <c r="S214" s="4"/>
      <c r="T214" s="4"/>
      <c r="U214" s="4"/>
      <c r="V214" s="4"/>
      <c r="W214" s="4">
        <v>0</v>
      </c>
      <c r="X214" s="4">
        <v>1</v>
      </c>
      <c r="Y214" s="4">
        <v>0</v>
      </c>
      <c r="Z214" s="4"/>
      <c r="AA214" s="4"/>
      <c r="AB214" s="4"/>
    </row>
    <row r="215" spans="1:245" x14ac:dyDescent="0.2">
      <c r="A215" s="4">
        <v>50</v>
      </c>
      <c r="B215" s="4">
        <v>0</v>
      </c>
      <c r="C215" s="4">
        <v>0</v>
      </c>
      <c r="D215" s="4">
        <v>1</v>
      </c>
      <c r="E215" s="4">
        <v>224</v>
      </c>
      <c r="F215" s="4">
        <f>ROUND(Source!AR187,O215)</f>
        <v>5438892.29</v>
      </c>
      <c r="G215" s="4" t="s">
        <v>69</v>
      </c>
      <c r="H215" s="4" t="s">
        <v>70</v>
      </c>
      <c r="I215" s="4"/>
      <c r="J215" s="4"/>
      <c r="K215" s="4">
        <v>224</v>
      </c>
      <c r="L215" s="4">
        <v>27</v>
      </c>
      <c r="M215" s="4">
        <v>3</v>
      </c>
      <c r="N215" s="4" t="s">
        <v>3</v>
      </c>
      <c r="O215" s="4">
        <v>2</v>
      </c>
      <c r="P215" s="4"/>
      <c r="Q215" s="4"/>
      <c r="R215" s="4"/>
      <c r="S215" s="4"/>
      <c r="T215" s="4"/>
      <c r="U215" s="4"/>
      <c r="V215" s="4"/>
      <c r="W215" s="4">
        <v>5438892.29</v>
      </c>
      <c r="X215" s="4">
        <v>1</v>
      </c>
      <c r="Y215" s="4">
        <v>5438892.29</v>
      </c>
      <c r="Z215" s="4"/>
      <c r="AA215" s="4"/>
      <c r="AB215" s="4"/>
    </row>
    <row r="217" spans="1:245" x14ac:dyDescent="0.2">
      <c r="A217" s="1">
        <v>4</v>
      </c>
      <c r="B217" s="1">
        <v>1</v>
      </c>
      <c r="C217" s="1"/>
      <c r="D217" s="1">
        <f>ROW(A226)</f>
        <v>226</v>
      </c>
      <c r="E217" s="1"/>
      <c r="F217" s="1" t="s">
        <v>72</v>
      </c>
      <c r="G217" s="1" t="s">
        <v>187</v>
      </c>
      <c r="H217" s="1" t="s">
        <v>3</v>
      </c>
      <c r="I217" s="1">
        <v>0</v>
      </c>
      <c r="J217" s="1"/>
      <c r="K217" s="1">
        <v>0</v>
      </c>
      <c r="L217" s="1"/>
      <c r="M217" s="1" t="s">
        <v>3</v>
      </c>
      <c r="N217" s="1"/>
      <c r="O217" s="1"/>
      <c r="P217" s="1"/>
      <c r="Q217" s="1"/>
      <c r="R217" s="1"/>
      <c r="S217" s="1">
        <v>0</v>
      </c>
      <c r="T217" s="1"/>
      <c r="U217" s="1" t="s">
        <v>3</v>
      </c>
      <c r="V217" s="1">
        <v>0</v>
      </c>
      <c r="W217" s="1"/>
      <c r="X217" s="1"/>
      <c r="Y217" s="1"/>
      <c r="Z217" s="1"/>
      <c r="AA217" s="1"/>
      <c r="AB217" s="1" t="s">
        <v>3</v>
      </c>
      <c r="AC217" s="1" t="s">
        <v>3</v>
      </c>
      <c r="AD217" s="1" t="s">
        <v>3</v>
      </c>
      <c r="AE217" s="1" t="s">
        <v>3</v>
      </c>
      <c r="AF217" s="1" t="s">
        <v>3</v>
      </c>
      <c r="AG217" s="1" t="s">
        <v>3</v>
      </c>
      <c r="AH217" s="1"/>
      <c r="AI217" s="1"/>
      <c r="AJ217" s="1"/>
      <c r="AK217" s="1"/>
      <c r="AL217" s="1"/>
      <c r="AM217" s="1"/>
      <c r="AN217" s="1"/>
      <c r="AO217" s="1"/>
      <c r="AP217" s="1" t="s">
        <v>3</v>
      </c>
      <c r="AQ217" s="1" t="s">
        <v>3</v>
      </c>
      <c r="AR217" s="1" t="s">
        <v>3</v>
      </c>
      <c r="AS217" s="1"/>
      <c r="AT217" s="1"/>
      <c r="AU217" s="1"/>
      <c r="AV217" s="1"/>
      <c r="AW217" s="1"/>
      <c r="AX217" s="1"/>
      <c r="AY217" s="1"/>
      <c r="AZ217" s="1" t="s">
        <v>3</v>
      </c>
      <c r="BA217" s="1"/>
      <c r="BB217" s="1" t="s">
        <v>3</v>
      </c>
      <c r="BC217" s="1" t="s">
        <v>3</v>
      </c>
      <c r="BD217" s="1" t="s">
        <v>3</v>
      </c>
      <c r="BE217" s="1" t="s">
        <v>3</v>
      </c>
      <c r="BF217" s="1" t="s">
        <v>3</v>
      </c>
      <c r="BG217" s="1" t="s">
        <v>3</v>
      </c>
      <c r="BH217" s="1" t="s">
        <v>3</v>
      </c>
      <c r="BI217" s="1" t="s">
        <v>3</v>
      </c>
      <c r="BJ217" s="1" t="s">
        <v>3</v>
      </c>
      <c r="BK217" s="1" t="s">
        <v>3</v>
      </c>
      <c r="BL217" s="1" t="s">
        <v>3</v>
      </c>
      <c r="BM217" s="1" t="s">
        <v>3</v>
      </c>
      <c r="BN217" s="1" t="s">
        <v>3</v>
      </c>
      <c r="BO217" s="1" t="s">
        <v>3</v>
      </c>
      <c r="BP217" s="1" t="s">
        <v>3</v>
      </c>
      <c r="BQ217" s="1"/>
      <c r="BR217" s="1"/>
      <c r="BS217" s="1"/>
      <c r="BT217" s="1"/>
      <c r="BU217" s="1"/>
      <c r="BV217" s="1"/>
      <c r="BW217" s="1"/>
      <c r="BX217" s="1">
        <v>0</v>
      </c>
      <c r="BY217" s="1"/>
      <c r="BZ217" s="1"/>
      <c r="CA217" s="1"/>
      <c r="CB217" s="1"/>
      <c r="CC217" s="1"/>
      <c r="CD217" s="1"/>
      <c r="CE217" s="1"/>
      <c r="CF217" s="1"/>
      <c r="CG217" s="1"/>
      <c r="CH217" s="1"/>
      <c r="CI217" s="1"/>
      <c r="CJ217" s="1">
        <v>0</v>
      </c>
    </row>
    <row r="219" spans="1:245" x14ac:dyDescent="0.2">
      <c r="A219" s="2">
        <v>52</v>
      </c>
      <c r="B219" s="2">
        <f t="shared" ref="B219:G219" si="105">B226</f>
        <v>1</v>
      </c>
      <c r="C219" s="2">
        <f t="shared" si="105"/>
        <v>4</v>
      </c>
      <c r="D219" s="2">
        <f t="shared" si="105"/>
        <v>217</v>
      </c>
      <c r="E219" s="2">
        <f t="shared" si="105"/>
        <v>0</v>
      </c>
      <c r="F219" s="2" t="str">
        <f t="shared" si="105"/>
        <v>Новый раздел</v>
      </c>
      <c r="G219" s="2" t="str">
        <f t="shared" si="105"/>
        <v>Пусконаладочные работы</v>
      </c>
      <c r="H219" s="2"/>
      <c r="I219" s="2"/>
      <c r="J219" s="2"/>
      <c r="K219" s="2"/>
      <c r="L219" s="2"/>
      <c r="M219" s="2"/>
      <c r="N219" s="2"/>
      <c r="O219" s="2">
        <f t="shared" ref="O219:AT219" si="106">O226</f>
        <v>14636.8</v>
      </c>
      <c r="P219" s="2">
        <f t="shared" si="106"/>
        <v>0</v>
      </c>
      <c r="Q219" s="2">
        <f t="shared" si="106"/>
        <v>0</v>
      </c>
      <c r="R219" s="2">
        <f t="shared" si="106"/>
        <v>0</v>
      </c>
      <c r="S219" s="2">
        <f t="shared" si="106"/>
        <v>14636.8</v>
      </c>
      <c r="T219" s="2">
        <f t="shared" si="106"/>
        <v>0</v>
      </c>
      <c r="U219" s="2">
        <f t="shared" si="106"/>
        <v>23.738</v>
      </c>
      <c r="V219" s="2">
        <f t="shared" si="106"/>
        <v>0</v>
      </c>
      <c r="W219" s="2">
        <f t="shared" si="106"/>
        <v>0</v>
      </c>
      <c r="X219" s="2">
        <f t="shared" si="106"/>
        <v>10831.24</v>
      </c>
      <c r="Y219" s="2">
        <f t="shared" si="106"/>
        <v>5269.24</v>
      </c>
      <c r="Z219" s="2">
        <f t="shared" si="106"/>
        <v>0</v>
      </c>
      <c r="AA219" s="2">
        <f t="shared" si="106"/>
        <v>0</v>
      </c>
      <c r="AB219" s="2">
        <f t="shared" si="106"/>
        <v>14636.8</v>
      </c>
      <c r="AC219" s="2">
        <f t="shared" si="106"/>
        <v>0</v>
      </c>
      <c r="AD219" s="2">
        <f t="shared" si="106"/>
        <v>0</v>
      </c>
      <c r="AE219" s="2">
        <f t="shared" si="106"/>
        <v>0</v>
      </c>
      <c r="AF219" s="2">
        <f t="shared" si="106"/>
        <v>14636.8</v>
      </c>
      <c r="AG219" s="2">
        <f t="shared" si="106"/>
        <v>0</v>
      </c>
      <c r="AH219" s="2">
        <f t="shared" si="106"/>
        <v>23.738</v>
      </c>
      <c r="AI219" s="2">
        <f t="shared" si="106"/>
        <v>0</v>
      </c>
      <c r="AJ219" s="2">
        <f t="shared" si="106"/>
        <v>0</v>
      </c>
      <c r="AK219" s="2">
        <f t="shared" si="106"/>
        <v>10831.24</v>
      </c>
      <c r="AL219" s="2">
        <f t="shared" si="106"/>
        <v>5269.24</v>
      </c>
      <c r="AM219" s="2">
        <f t="shared" si="106"/>
        <v>0</v>
      </c>
      <c r="AN219" s="2">
        <f t="shared" si="106"/>
        <v>0</v>
      </c>
      <c r="AO219" s="2">
        <f t="shared" si="106"/>
        <v>0</v>
      </c>
      <c r="AP219" s="2">
        <f t="shared" si="106"/>
        <v>0</v>
      </c>
      <c r="AQ219" s="2">
        <f t="shared" si="106"/>
        <v>0</v>
      </c>
      <c r="AR219" s="2">
        <f t="shared" si="106"/>
        <v>30737.279999999999</v>
      </c>
      <c r="AS219" s="2">
        <f t="shared" si="106"/>
        <v>0</v>
      </c>
      <c r="AT219" s="2">
        <f t="shared" si="106"/>
        <v>0</v>
      </c>
      <c r="AU219" s="2">
        <f t="shared" ref="AU219:BZ219" si="107">AU226</f>
        <v>30737.279999999999</v>
      </c>
      <c r="AV219" s="2">
        <f t="shared" si="107"/>
        <v>0</v>
      </c>
      <c r="AW219" s="2">
        <f t="shared" si="107"/>
        <v>0</v>
      </c>
      <c r="AX219" s="2">
        <f t="shared" si="107"/>
        <v>0</v>
      </c>
      <c r="AY219" s="2">
        <f t="shared" si="107"/>
        <v>0</v>
      </c>
      <c r="AZ219" s="2">
        <f t="shared" si="107"/>
        <v>0</v>
      </c>
      <c r="BA219" s="2">
        <f t="shared" si="107"/>
        <v>0</v>
      </c>
      <c r="BB219" s="2">
        <f t="shared" si="107"/>
        <v>0</v>
      </c>
      <c r="BC219" s="2">
        <f t="shared" si="107"/>
        <v>0</v>
      </c>
      <c r="BD219" s="2">
        <f t="shared" si="107"/>
        <v>0</v>
      </c>
      <c r="BE219" s="2">
        <f t="shared" si="107"/>
        <v>0</v>
      </c>
      <c r="BF219" s="2">
        <f t="shared" si="107"/>
        <v>0</v>
      </c>
      <c r="BG219" s="2">
        <f t="shared" si="107"/>
        <v>0</v>
      </c>
      <c r="BH219" s="2">
        <f t="shared" si="107"/>
        <v>0</v>
      </c>
      <c r="BI219" s="2">
        <f t="shared" si="107"/>
        <v>0</v>
      </c>
      <c r="BJ219" s="2">
        <f t="shared" si="107"/>
        <v>0</v>
      </c>
      <c r="BK219" s="2">
        <f t="shared" si="107"/>
        <v>0</v>
      </c>
      <c r="BL219" s="2">
        <f t="shared" si="107"/>
        <v>0</v>
      </c>
      <c r="BM219" s="2">
        <f t="shared" si="107"/>
        <v>0</v>
      </c>
      <c r="BN219" s="2">
        <f t="shared" si="107"/>
        <v>0</v>
      </c>
      <c r="BO219" s="2">
        <f t="shared" si="107"/>
        <v>0</v>
      </c>
      <c r="BP219" s="2">
        <f t="shared" si="107"/>
        <v>0</v>
      </c>
      <c r="BQ219" s="2">
        <f t="shared" si="107"/>
        <v>0</v>
      </c>
      <c r="BR219" s="2">
        <f t="shared" si="107"/>
        <v>0</v>
      </c>
      <c r="BS219" s="2">
        <f t="shared" si="107"/>
        <v>0</v>
      </c>
      <c r="BT219" s="2">
        <f t="shared" si="107"/>
        <v>0</v>
      </c>
      <c r="BU219" s="2">
        <f t="shared" si="107"/>
        <v>0</v>
      </c>
      <c r="BV219" s="2">
        <f t="shared" si="107"/>
        <v>0</v>
      </c>
      <c r="BW219" s="2">
        <f t="shared" si="107"/>
        <v>0</v>
      </c>
      <c r="BX219" s="2">
        <f t="shared" si="107"/>
        <v>0</v>
      </c>
      <c r="BY219" s="2">
        <f t="shared" si="107"/>
        <v>0</v>
      </c>
      <c r="BZ219" s="2">
        <f t="shared" si="107"/>
        <v>0</v>
      </c>
      <c r="CA219" s="2">
        <f t="shared" ref="CA219:DF219" si="108">CA226</f>
        <v>30737.279999999999</v>
      </c>
      <c r="CB219" s="2">
        <f t="shared" si="108"/>
        <v>0</v>
      </c>
      <c r="CC219" s="2">
        <f t="shared" si="108"/>
        <v>0</v>
      </c>
      <c r="CD219" s="2">
        <f t="shared" si="108"/>
        <v>30737.279999999999</v>
      </c>
      <c r="CE219" s="2">
        <f t="shared" si="108"/>
        <v>0</v>
      </c>
      <c r="CF219" s="2">
        <f t="shared" si="108"/>
        <v>0</v>
      </c>
      <c r="CG219" s="2">
        <f t="shared" si="108"/>
        <v>0</v>
      </c>
      <c r="CH219" s="2">
        <f t="shared" si="108"/>
        <v>0</v>
      </c>
      <c r="CI219" s="2">
        <f t="shared" si="108"/>
        <v>0</v>
      </c>
      <c r="CJ219" s="2">
        <f t="shared" si="108"/>
        <v>0</v>
      </c>
      <c r="CK219" s="2">
        <f t="shared" si="108"/>
        <v>0</v>
      </c>
      <c r="CL219" s="2">
        <f t="shared" si="108"/>
        <v>0</v>
      </c>
      <c r="CM219" s="2">
        <f t="shared" si="108"/>
        <v>0</v>
      </c>
      <c r="CN219" s="2">
        <f t="shared" si="108"/>
        <v>0</v>
      </c>
      <c r="CO219" s="2">
        <f t="shared" si="108"/>
        <v>0</v>
      </c>
      <c r="CP219" s="2">
        <f t="shared" si="108"/>
        <v>0</v>
      </c>
      <c r="CQ219" s="2">
        <f t="shared" si="108"/>
        <v>0</v>
      </c>
      <c r="CR219" s="2">
        <f t="shared" si="108"/>
        <v>0</v>
      </c>
      <c r="CS219" s="2">
        <f t="shared" si="108"/>
        <v>0</v>
      </c>
      <c r="CT219" s="2">
        <f t="shared" si="108"/>
        <v>0</v>
      </c>
      <c r="CU219" s="2">
        <f t="shared" si="108"/>
        <v>0</v>
      </c>
      <c r="CV219" s="2">
        <f t="shared" si="108"/>
        <v>0</v>
      </c>
      <c r="CW219" s="2">
        <f t="shared" si="108"/>
        <v>0</v>
      </c>
      <c r="CX219" s="2">
        <f t="shared" si="108"/>
        <v>0</v>
      </c>
      <c r="CY219" s="2">
        <f t="shared" si="108"/>
        <v>0</v>
      </c>
      <c r="CZ219" s="2">
        <f t="shared" si="108"/>
        <v>0</v>
      </c>
      <c r="DA219" s="2">
        <f t="shared" si="108"/>
        <v>0</v>
      </c>
      <c r="DB219" s="2">
        <f t="shared" si="108"/>
        <v>0</v>
      </c>
      <c r="DC219" s="2">
        <f t="shared" si="108"/>
        <v>0</v>
      </c>
      <c r="DD219" s="2">
        <f t="shared" si="108"/>
        <v>0</v>
      </c>
      <c r="DE219" s="2">
        <f t="shared" si="108"/>
        <v>0</v>
      </c>
      <c r="DF219" s="2">
        <f t="shared" si="108"/>
        <v>0</v>
      </c>
      <c r="DG219" s="3">
        <f t="shared" ref="DG219:EL219" si="109">DG226</f>
        <v>0</v>
      </c>
      <c r="DH219" s="3">
        <f t="shared" si="109"/>
        <v>0</v>
      </c>
      <c r="DI219" s="3">
        <f t="shared" si="109"/>
        <v>0</v>
      </c>
      <c r="DJ219" s="3">
        <f t="shared" si="109"/>
        <v>0</v>
      </c>
      <c r="DK219" s="3">
        <f t="shared" si="109"/>
        <v>0</v>
      </c>
      <c r="DL219" s="3">
        <f t="shared" si="109"/>
        <v>0</v>
      </c>
      <c r="DM219" s="3">
        <f t="shared" si="109"/>
        <v>0</v>
      </c>
      <c r="DN219" s="3">
        <f t="shared" si="109"/>
        <v>0</v>
      </c>
      <c r="DO219" s="3">
        <f t="shared" si="109"/>
        <v>0</v>
      </c>
      <c r="DP219" s="3">
        <f t="shared" si="109"/>
        <v>0</v>
      </c>
      <c r="DQ219" s="3">
        <f t="shared" si="109"/>
        <v>0</v>
      </c>
      <c r="DR219" s="3">
        <f t="shared" si="109"/>
        <v>0</v>
      </c>
      <c r="DS219" s="3">
        <f t="shared" si="109"/>
        <v>0</v>
      </c>
      <c r="DT219" s="3">
        <f t="shared" si="109"/>
        <v>0</v>
      </c>
      <c r="DU219" s="3">
        <f t="shared" si="109"/>
        <v>0</v>
      </c>
      <c r="DV219" s="3">
        <f t="shared" si="109"/>
        <v>0</v>
      </c>
      <c r="DW219" s="3">
        <f t="shared" si="109"/>
        <v>0</v>
      </c>
      <c r="DX219" s="3">
        <f t="shared" si="109"/>
        <v>0</v>
      </c>
      <c r="DY219" s="3">
        <f t="shared" si="109"/>
        <v>0</v>
      </c>
      <c r="DZ219" s="3">
        <f t="shared" si="109"/>
        <v>0</v>
      </c>
      <c r="EA219" s="3">
        <f t="shared" si="109"/>
        <v>0</v>
      </c>
      <c r="EB219" s="3">
        <f t="shared" si="109"/>
        <v>0</v>
      </c>
      <c r="EC219" s="3">
        <f t="shared" si="109"/>
        <v>0</v>
      </c>
      <c r="ED219" s="3">
        <f t="shared" si="109"/>
        <v>0</v>
      </c>
      <c r="EE219" s="3">
        <f t="shared" si="109"/>
        <v>0</v>
      </c>
      <c r="EF219" s="3">
        <f t="shared" si="109"/>
        <v>0</v>
      </c>
      <c r="EG219" s="3">
        <f t="shared" si="109"/>
        <v>0</v>
      </c>
      <c r="EH219" s="3">
        <f t="shared" si="109"/>
        <v>0</v>
      </c>
      <c r="EI219" s="3">
        <f t="shared" si="109"/>
        <v>0</v>
      </c>
      <c r="EJ219" s="3">
        <f t="shared" si="109"/>
        <v>0</v>
      </c>
      <c r="EK219" s="3">
        <f t="shared" si="109"/>
        <v>0</v>
      </c>
      <c r="EL219" s="3">
        <f t="shared" si="109"/>
        <v>0</v>
      </c>
      <c r="EM219" s="3">
        <f t="shared" ref="EM219:FR219" si="110">EM226</f>
        <v>0</v>
      </c>
      <c r="EN219" s="3">
        <f t="shared" si="110"/>
        <v>0</v>
      </c>
      <c r="EO219" s="3">
        <f t="shared" si="110"/>
        <v>0</v>
      </c>
      <c r="EP219" s="3">
        <f t="shared" si="110"/>
        <v>0</v>
      </c>
      <c r="EQ219" s="3">
        <f t="shared" si="110"/>
        <v>0</v>
      </c>
      <c r="ER219" s="3">
        <f t="shared" si="110"/>
        <v>0</v>
      </c>
      <c r="ES219" s="3">
        <f t="shared" si="110"/>
        <v>0</v>
      </c>
      <c r="ET219" s="3">
        <f t="shared" si="110"/>
        <v>0</v>
      </c>
      <c r="EU219" s="3">
        <f t="shared" si="110"/>
        <v>0</v>
      </c>
      <c r="EV219" s="3">
        <f t="shared" si="110"/>
        <v>0</v>
      </c>
      <c r="EW219" s="3">
        <f t="shared" si="110"/>
        <v>0</v>
      </c>
      <c r="EX219" s="3">
        <f t="shared" si="110"/>
        <v>0</v>
      </c>
      <c r="EY219" s="3">
        <f t="shared" si="110"/>
        <v>0</v>
      </c>
      <c r="EZ219" s="3">
        <f t="shared" si="110"/>
        <v>0</v>
      </c>
      <c r="FA219" s="3">
        <f t="shared" si="110"/>
        <v>0</v>
      </c>
      <c r="FB219" s="3">
        <f t="shared" si="110"/>
        <v>0</v>
      </c>
      <c r="FC219" s="3">
        <f t="shared" si="110"/>
        <v>0</v>
      </c>
      <c r="FD219" s="3">
        <f t="shared" si="110"/>
        <v>0</v>
      </c>
      <c r="FE219" s="3">
        <f t="shared" si="110"/>
        <v>0</v>
      </c>
      <c r="FF219" s="3">
        <f t="shared" si="110"/>
        <v>0</v>
      </c>
      <c r="FG219" s="3">
        <f t="shared" si="110"/>
        <v>0</v>
      </c>
      <c r="FH219" s="3">
        <f t="shared" si="110"/>
        <v>0</v>
      </c>
      <c r="FI219" s="3">
        <f t="shared" si="110"/>
        <v>0</v>
      </c>
      <c r="FJ219" s="3">
        <f t="shared" si="110"/>
        <v>0</v>
      </c>
      <c r="FK219" s="3">
        <f t="shared" si="110"/>
        <v>0</v>
      </c>
      <c r="FL219" s="3">
        <f t="shared" si="110"/>
        <v>0</v>
      </c>
      <c r="FM219" s="3">
        <f t="shared" si="110"/>
        <v>0</v>
      </c>
      <c r="FN219" s="3">
        <f t="shared" si="110"/>
        <v>0</v>
      </c>
      <c r="FO219" s="3">
        <f t="shared" si="110"/>
        <v>0</v>
      </c>
      <c r="FP219" s="3">
        <f t="shared" si="110"/>
        <v>0</v>
      </c>
      <c r="FQ219" s="3">
        <f t="shared" si="110"/>
        <v>0</v>
      </c>
      <c r="FR219" s="3">
        <f t="shared" si="110"/>
        <v>0</v>
      </c>
      <c r="FS219" s="3">
        <f t="shared" ref="FS219:GX219" si="111">FS226</f>
        <v>0</v>
      </c>
      <c r="FT219" s="3">
        <f t="shared" si="111"/>
        <v>0</v>
      </c>
      <c r="FU219" s="3">
        <f t="shared" si="111"/>
        <v>0</v>
      </c>
      <c r="FV219" s="3">
        <f t="shared" si="111"/>
        <v>0</v>
      </c>
      <c r="FW219" s="3">
        <f t="shared" si="111"/>
        <v>0</v>
      </c>
      <c r="FX219" s="3">
        <f t="shared" si="111"/>
        <v>0</v>
      </c>
      <c r="FY219" s="3">
        <f t="shared" si="111"/>
        <v>0</v>
      </c>
      <c r="FZ219" s="3">
        <f t="shared" si="111"/>
        <v>0</v>
      </c>
      <c r="GA219" s="3">
        <f t="shared" si="111"/>
        <v>0</v>
      </c>
      <c r="GB219" s="3">
        <f t="shared" si="111"/>
        <v>0</v>
      </c>
      <c r="GC219" s="3">
        <f t="shared" si="111"/>
        <v>0</v>
      </c>
      <c r="GD219" s="3">
        <f t="shared" si="111"/>
        <v>0</v>
      </c>
      <c r="GE219" s="3">
        <f t="shared" si="111"/>
        <v>0</v>
      </c>
      <c r="GF219" s="3">
        <f t="shared" si="111"/>
        <v>0</v>
      </c>
      <c r="GG219" s="3">
        <f t="shared" si="111"/>
        <v>0</v>
      </c>
      <c r="GH219" s="3">
        <f t="shared" si="111"/>
        <v>0</v>
      </c>
      <c r="GI219" s="3">
        <f t="shared" si="111"/>
        <v>0</v>
      </c>
      <c r="GJ219" s="3">
        <f t="shared" si="111"/>
        <v>0</v>
      </c>
      <c r="GK219" s="3">
        <f t="shared" si="111"/>
        <v>0</v>
      </c>
      <c r="GL219" s="3">
        <f t="shared" si="111"/>
        <v>0</v>
      </c>
      <c r="GM219" s="3">
        <f t="shared" si="111"/>
        <v>0</v>
      </c>
      <c r="GN219" s="3">
        <f t="shared" si="111"/>
        <v>0</v>
      </c>
      <c r="GO219" s="3">
        <f t="shared" si="111"/>
        <v>0</v>
      </c>
      <c r="GP219" s="3">
        <f t="shared" si="111"/>
        <v>0</v>
      </c>
      <c r="GQ219" s="3">
        <f t="shared" si="111"/>
        <v>0</v>
      </c>
      <c r="GR219" s="3">
        <f t="shared" si="111"/>
        <v>0</v>
      </c>
      <c r="GS219" s="3">
        <f t="shared" si="111"/>
        <v>0</v>
      </c>
      <c r="GT219" s="3">
        <f t="shared" si="111"/>
        <v>0</v>
      </c>
      <c r="GU219" s="3">
        <f t="shared" si="111"/>
        <v>0</v>
      </c>
      <c r="GV219" s="3">
        <f t="shared" si="111"/>
        <v>0</v>
      </c>
      <c r="GW219" s="3">
        <f t="shared" si="111"/>
        <v>0</v>
      </c>
      <c r="GX219" s="3">
        <f t="shared" si="111"/>
        <v>0</v>
      </c>
    </row>
    <row r="221" spans="1:245" x14ac:dyDescent="0.2">
      <c r="A221">
        <v>17</v>
      </c>
      <c r="B221">
        <v>1</v>
      </c>
      <c r="C221">
        <f>ROW(SmtRes!A69)</f>
        <v>69</v>
      </c>
      <c r="D221">
        <f>ROW(EtalonRes!A71)</f>
        <v>71</v>
      </c>
      <c r="E221" t="s">
        <v>188</v>
      </c>
      <c r="F221" t="s">
        <v>189</v>
      </c>
      <c r="G221" t="s">
        <v>190</v>
      </c>
      <c r="H221" t="s">
        <v>137</v>
      </c>
      <c r="I221">
        <v>6</v>
      </c>
      <c r="J221">
        <v>0</v>
      </c>
      <c r="K221">
        <v>6</v>
      </c>
      <c r="O221">
        <f>ROUND(CP221,2)</f>
        <v>6333.75</v>
      </c>
      <c r="P221">
        <f>SUMIF(SmtRes!AQ68:'SmtRes'!AQ69,"=1",SmtRes!DF68:'SmtRes'!DF69)</f>
        <v>0</v>
      </c>
      <c r="Q221">
        <f>SUMIF(SmtRes!AQ68:'SmtRes'!AQ69,"=1",SmtRes!DG68:'SmtRes'!DG69)</f>
        <v>0</v>
      </c>
      <c r="R221">
        <f>SUMIF(SmtRes!AQ68:'SmtRes'!AQ69,"=1",SmtRes!DH68:'SmtRes'!DH69)</f>
        <v>0</v>
      </c>
      <c r="S221">
        <f>SUMIF(SmtRes!AQ68:'SmtRes'!AQ69,"=1",SmtRes!DI68:'SmtRes'!DI69)</f>
        <v>6333.75</v>
      </c>
      <c r="T221">
        <f>ROUND(CU221*I221,2)</f>
        <v>0</v>
      </c>
      <c r="U221">
        <f>SUMIF(SmtRes!AQ68:'SmtRes'!AQ69,"=1",SmtRes!CV68:'SmtRes'!CV69)</f>
        <v>9.7200000000000006</v>
      </c>
      <c r="V221">
        <f>SUMIF(SmtRes!AQ68:'SmtRes'!AQ69,"=1",SmtRes!CW68:'SmtRes'!CW69)</f>
        <v>0</v>
      </c>
      <c r="W221">
        <f>ROUND(CX221*I221,2)</f>
        <v>0</v>
      </c>
      <c r="X221">
        <f t="shared" ref="X221:Y224" si="112">ROUND(CY221,2)</f>
        <v>4686.9799999999996</v>
      </c>
      <c r="Y221">
        <f t="shared" si="112"/>
        <v>2280.15</v>
      </c>
      <c r="AA221">
        <v>65174513</v>
      </c>
      <c r="AB221">
        <f>ROUND((AC221+AD221+AF221),6)</f>
        <v>1055.6243999999999</v>
      </c>
      <c r="AC221">
        <f>ROUND((0),6)</f>
        <v>0</v>
      </c>
      <c r="AD221">
        <f>ROUND((((0)-(0))+AE221),6)</f>
        <v>0</v>
      </c>
      <c r="AE221">
        <f>ROUND((0),6)</f>
        <v>0</v>
      </c>
      <c r="AF221">
        <f>ROUND((SUM(SmtRes!BT68:'SmtRes'!BT69)),6)</f>
        <v>1055.6243999999999</v>
      </c>
      <c r="AG221">
        <f>ROUND((AP221),6)</f>
        <v>0</v>
      </c>
      <c r="AH221">
        <f>(SUM(SmtRes!BU68:'SmtRes'!BU69))</f>
        <v>1.62</v>
      </c>
      <c r="AI221">
        <f>(0)</f>
        <v>0</v>
      </c>
      <c r="AJ221">
        <f>(AS221)</f>
        <v>0</v>
      </c>
      <c r="AK221">
        <v>1055.6244000000002</v>
      </c>
      <c r="AL221">
        <v>0</v>
      </c>
      <c r="AM221">
        <v>0</v>
      </c>
      <c r="AN221">
        <v>0</v>
      </c>
      <c r="AO221">
        <v>1055.6244000000002</v>
      </c>
      <c r="AP221">
        <v>0</v>
      </c>
      <c r="AQ221">
        <v>1.62</v>
      </c>
      <c r="AR221">
        <v>0</v>
      </c>
      <c r="AS221">
        <v>0</v>
      </c>
      <c r="AT221">
        <v>74</v>
      </c>
      <c r="AU221">
        <v>36</v>
      </c>
      <c r="AV221">
        <v>1</v>
      </c>
      <c r="AW221">
        <v>1</v>
      </c>
      <c r="AZ221">
        <v>1</v>
      </c>
      <c r="BA221">
        <v>1</v>
      </c>
      <c r="BB221">
        <v>1</v>
      </c>
      <c r="BC221">
        <v>1</v>
      </c>
      <c r="BD221" t="s">
        <v>3</v>
      </c>
      <c r="BE221" t="s">
        <v>3</v>
      </c>
      <c r="BF221" t="s">
        <v>3</v>
      </c>
      <c r="BG221" t="s">
        <v>3</v>
      </c>
      <c r="BH221">
        <v>0</v>
      </c>
      <c r="BI221">
        <v>4</v>
      </c>
      <c r="BJ221" t="s">
        <v>191</v>
      </c>
      <c r="BM221">
        <v>200001</v>
      </c>
      <c r="BN221">
        <v>0</v>
      </c>
      <c r="BO221" t="s">
        <v>3</v>
      </c>
      <c r="BP221">
        <v>0</v>
      </c>
      <c r="BQ221">
        <v>4</v>
      </c>
      <c r="BR221">
        <v>0</v>
      </c>
      <c r="BS221">
        <v>1</v>
      </c>
      <c r="BT221">
        <v>1</v>
      </c>
      <c r="BU221">
        <v>1</v>
      </c>
      <c r="BV221">
        <v>1</v>
      </c>
      <c r="BW221">
        <v>1</v>
      </c>
      <c r="BX221">
        <v>1</v>
      </c>
      <c r="BY221" t="s">
        <v>3</v>
      </c>
      <c r="BZ221">
        <v>74</v>
      </c>
      <c r="CA221">
        <v>36</v>
      </c>
      <c r="CB221" t="s">
        <v>3</v>
      </c>
      <c r="CE221">
        <v>0</v>
      </c>
      <c r="CF221">
        <v>0</v>
      </c>
      <c r="CG221">
        <v>0</v>
      </c>
      <c r="CM221">
        <v>0</v>
      </c>
      <c r="CN221" t="s">
        <v>3</v>
      </c>
      <c r="CO221">
        <v>0</v>
      </c>
      <c r="CP221">
        <f>(P221+Q221+S221+R221)</f>
        <v>6333.75</v>
      </c>
      <c r="CQ221">
        <f>SUMIF(SmtRes!AQ68:'SmtRes'!AQ69,"=1",SmtRes!AA68:'SmtRes'!AA69)</f>
        <v>0</v>
      </c>
      <c r="CR221">
        <f>SUMIF(SmtRes!AQ68:'SmtRes'!AQ69,"=1",SmtRes!AB68:'SmtRes'!AB69)</f>
        <v>0</v>
      </c>
      <c r="CS221">
        <f>SUMIF(SmtRes!AQ68:'SmtRes'!AQ69,"=1",SmtRes!AC68:'SmtRes'!AC69)</f>
        <v>0</v>
      </c>
      <c r="CT221">
        <f>SUMIF(SmtRes!AQ68:'SmtRes'!AQ69,"=1",SmtRes!AD68:'SmtRes'!AD69)</f>
        <v>1303.24</v>
      </c>
      <c r="CU221">
        <f>AG221</f>
        <v>0</v>
      </c>
      <c r="CV221">
        <f>SUMIF(SmtRes!AQ68:'SmtRes'!AQ69,"=1",SmtRes!BU68:'SmtRes'!BU69)</f>
        <v>1.62</v>
      </c>
      <c r="CW221">
        <f>SUMIF(SmtRes!AQ68:'SmtRes'!AQ69,"=1",SmtRes!BV68:'SmtRes'!BV69)</f>
        <v>0</v>
      </c>
      <c r="CX221">
        <f>AJ221</f>
        <v>0</v>
      </c>
      <c r="CY221">
        <f>(((S221+R221)*AT221)/100)</f>
        <v>4686.9750000000004</v>
      </c>
      <c r="CZ221">
        <f>(((S221+R221)*AU221)/100)</f>
        <v>2280.15</v>
      </c>
      <c r="DC221" t="s">
        <v>3</v>
      </c>
      <c r="DD221" t="s">
        <v>3</v>
      </c>
      <c r="DE221" t="s">
        <v>3</v>
      </c>
      <c r="DF221" t="s">
        <v>3</v>
      </c>
      <c r="DG221" t="s">
        <v>3</v>
      </c>
      <c r="DH221" t="s">
        <v>3</v>
      </c>
      <c r="DI221" t="s">
        <v>3</v>
      </c>
      <c r="DJ221" t="s">
        <v>3</v>
      </c>
      <c r="DK221" t="s">
        <v>3</v>
      </c>
      <c r="DL221" t="s">
        <v>3</v>
      </c>
      <c r="DM221" t="s">
        <v>3</v>
      </c>
      <c r="DN221">
        <v>0</v>
      </c>
      <c r="DO221">
        <v>0</v>
      </c>
      <c r="DP221">
        <v>1</v>
      </c>
      <c r="DQ221">
        <v>1</v>
      </c>
      <c r="DU221">
        <v>1013</v>
      </c>
      <c r="DV221" t="s">
        <v>137</v>
      </c>
      <c r="DW221" t="s">
        <v>137</v>
      </c>
      <c r="DX221">
        <v>1</v>
      </c>
      <c r="DZ221" t="s">
        <v>3</v>
      </c>
      <c r="EA221" t="s">
        <v>3</v>
      </c>
      <c r="EB221" t="s">
        <v>3</v>
      </c>
      <c r="EC221" t="s">
        <v>3</v>
      </c>
      <c r="EE221">
        <v>64850927</v>
      </c>
      <c r="EF221">
        <v>4</v>
      </c>
      <c r="EG221" t="s">
        <v>187</v>
      </c>
      <c r="EH221">
        <v>83</v>
      </c>
      <c r="EI221" t="s">
        <v>187</v>
      </c>
      <c r="EJ221">
        <v>4</v>
      </c>
      <c r="EK221">
        <v>200001</v>
      </c>
      <c r="EL221" t="s">
        <v>192</v>
      </c>
      <c r="EM221" t="s">
        <v>193</v>
      </c>
      <c r="EO221" t="s">
        <v>3</v>
      </c>
      <c r="EQ221">
        <v>0</v>
      </c>
      <c r="ER221">
        <v>0</v>
      </c>
      <c r="ES221">
        <v>0</v>
      </c>
      <c r="ET221">
        <v>0</v>
      </c>
      <c r="EU221">
        <v>0</v>
      </c>
      <c r="EV221">
        <v>0</v>
      </c>
      <c r="EW221">
        <v>1.62</v>
      </c>
      <c r="EX221">
        <v>0</v>
      </c>
      <c r="EY221">
        <v>0</v>
      </c>
      <c r="FQ221">
        <v>0</v>
      </c>
      <c r="FR221">
        <f>ROUND(IF(BI221=3,GM221,0),2)</f>
        <v>0</v>
      </c>
      <c r="FS221">
        <v>0</v>
      </c>
      <c r="FX221">
        <v>74</v>
      </c>
      <c r="FY221">
        <v>36</v>
      </c>
      <c r="GA221" t="s">
        <v>3</v>
      </c>
      <c r="GD221">
        <v>1</v>
      </c>
      <c r="GF221">
        <v>1328424198</v>
      </c>
      <c r="GG221">
        <v>2</v>
      </c>
      <c r="GH221">
        <v>1</v>
      </c>
      <c r="GI221">
        <v>-2</v>
      </c>
      <c r="GJ221">
        <v>0</v>
      </c>
      <c r="GK221">
        <v>0</v>
      </c>
      <c r="GL221">
        <f>ROUND(IF(AND(BH221=3,BI221=3,FS221&lt;&gt;0),P221,0),2)</f>
        <v>0</v>
      </c>
      <c r="GM221">
        <f>ROUND(O221+X221+Y221,2)+GX221</f>
        <v>13300.88</v>
      </c>
      <c r="GN221">
        <f>IF(OR(BI221=0,BI221=1),GM221-GX221,0)</f>
        <v>0</v>
      </c>
      <c r="GO221">
        <f>IF(BI221=2,GM221-GX221,0)</f>
        <v>0</v>
      </c>
      <c r="GP221">
        <f>IF(BI221=4,GM221-GX221,0)</f>
        <v>13300.88</v>
      </c>
      <c r="GR221">
        <v>0</v>
      </c>
      <c r="GS221">
        <v>0</v>
      </c>
      <c r="GT221">
        <v>0</v>
      </c>
      <c r="GU221" t="s">
        <v>3</v>
      </c>
      <c r="GV221">
        <f>ROUND((GT221),6)</f>
        <v>0</v>
      </c>
      <c r="GW221">
        <v>1</v>
      </c>
      <c r="GX221">
        <f>ROUND(HC221*I221,2)</f>
        <v>0</v>
      </c>
      <c r="HA221">
        <v>0</v>
      </c>
      <c r="HB221">
        <v>0</v>
      </c>
      <c r="HC221">
        <f>GV221*GW221</f>
        <v>0</v>
      </c>
      <c r="HE221" t="s">
        <v>3</v>
      </c>
      <c r="HF221" t="s">
        <v>3</v>
      </c>
      <c r="HM221" t="s">
        <v>3</v>
      </c>
      <c r="HN221" t="s">
        <v>194</v>
      </c>
      <c r="HO221" t="s">
        <v>195</v>
      </c>
      <c r="HP221" t="s">
        <v>187</v>
      </c>
      <c r="HQ221" t="s">
        <v>187</v>
      </c>
      <c r="IK221">
        <v>0</v>
      </c>
    </row>
    <row r="222" spans="1:245" x14ac:dyDescent="0.2">
      <c r="A222">
        <v>17</v>
      </c>
      <c r="B222">
        <v>1</v>
      </c>
      <c r="C222">
        <f>ROW(SmtRes!A71)</f>
        <v>71</v>
      </c>
      <c r="D222">
        <f>ROW(EtalonRes!A73)</f>
        <v>73</v>
      </c>
      <c r="E222" t="s">
        <v>196</v>
      </c>
      <c r="F222" t="s">
        <v>197</v>
      </c>
      <c r="G222" t="s">
        <v>198</v>
      </c>
      <c r="H222" t="s">
        <v>137</v>
      </c>
      <c r="I222">
        <v>6</v>
      </c>
      <c r="J222">
        <v>0</v>
      </c>
      <c r="K222">
        <v>6</v>
      </c>
      <c r="O222">
        <f>ROUND(CP222,2)</f>
        <v>1251.1099999999999</v>
      </c>
      <c r="P222">
        <f>SUMIF(SmtRes!AQ70:'SmtRes'!AQ71,"=1",SmtRes!DF70:'SmtRes'!DF71)</f>
        <v>0</v>
      </c>
      <c r="Q222">
        <f>SUMIF(SmtRes!AQ70:'SmtRes'!AQ71,"=1",SmtRes!DG70:'SmtRes'!DG71)</f>
        <v>0</v>
      </c>
      <c r="R222">
        <f>SUMIF(SmtRes!AQ70:'SmtRes'!AQ71,"=1",SmtRes!DH70:'SmtRes'!DH71)</f>
        <v>0</v>
      </c>
      <c r="S222">
        <f>SUMIF(SmtRes!AQ70:'SmtRes'!AQ71,"=1",SmtRes!DI70:'SmtRes'!DI71)</f>
        <v>1251.1100000000001</v>
      </c>
      <c r="T222">
        <f>ROUND(CU222*I222,2)</f>
        <v>0</v>
      </c>
      <c r="U222">
        <f>SUMIF(SmtRes!AQ70:'SmtRes'!AQ71,"=1",SmtRes!CV70:'SmtRes'!CV71)</f>
        <v>1.92</v>
      </c>
      <c r="V222">
        <f>SUMIF(SmtRes!AQ70:'SmtRes'!AQ71,"=1",SmtRes!CW70:'SmtRes'!CW71)</f>
        <v>0</v>
      </c>
      <c r="W222">
        <f>ROUND(CX222*I222,2)</f>
        <v>0</v>
      </c>
      <c r="X222">
        <f t="shared" si="112"/>
        <v>925.82</v>
      </c>
      <c r="Y222">
        <f t="shared" si="112"/>
        <v>450.4</v>
      </c>
      <c r="AA222">
        <v>65174513</v>
      </c>
      <c r="AB222">
        <f>ROUND((AC222+AD222+AF222),6)</f>
        <v>208.51840000000001</v>
      </c>
      <c r="AC222">
        <f>ROUND((0),6)</f>
        <v>0</v>
      </c>
      <c r="AD222">
        <f>ROUND((((0)-(0))+AE222),6)</f>
        <v>0</v>
      </c>
      <c r="AE222">
        <f>ROUND((0),6)</f>
        <v>0</v>
      </c>
      <c r="AF222">
        <f>ROUND((SUM(SmtRes!BT70:'SmtRes'!BT71)),6)</f>
        <v>208.51840000000001</v>
      </c>
      <c r="AG222">
        <f>ROUND((AP222),6)</f>
        <v>0</v>
      </c>
      <c r="AH222">
        <f>(SUM(SmtRes!BU70:'SmtRes'!BU71))</f>
        <v>0.32</v>
      </c>
      <c r="AI222">
        <f>(0)</f>
        <v>0</v>
      </c>
      <c r="AJ222">
        <f>(AS222)</f>
        <v>0</v>
      </c>
      <c r="AK222">
        <v>208.51839999999999</v>
      </c>
      <c r="AL222">
        <v>0</v>
      </c>
      <c r="AM222">
        <v>0</v>
      </c>
      <c r="AN222">
        <v>0</v>
      </c>
      <c r="AO222">
        <v>208.51839999999999</v>
      </c>
      <c r="AP222">
        <v>0</v>
      </c>
      <c r="AQ222">
        <v>0.32</v>
      </c>
      <c r="AR222">
        <v>0</v>
      </c>
      <c r="AS222">
        <v>0</v>
      </c>
      <c r="AT222">
        <v>74</v>
      </c>
      <c r="AU222">
        <v>36</v>
      </c>
      <c r="AV222">
        <v>1</v>
      </c>
      <c r="AW222">
        <v>1</v>
      </c>
      <c r="AZ222">
        <v>1</v>
      </c>
      <c r="BA222">
        <v>1</v>
      </c>
      <c r="BB222">
        <v>1</v>
      </c>
      <c r="BC222">
        <v>1</v>
      </c>
      <c r="BD222" t="s">
        <v>3</v>
      </c>
      <c r="BE222" t="s">
        <v>3</v>
      </c>
      <c r="BF222" t="s">
        <v>3</v>
      </c>
      <c r="BG222" t="s">
        <v>3</v>
      </c>
      <c r="BH222">
        <v>0</v>
      </c>
      <c r="BI222">
        <v>4</v>
      </c>
      <c r="BJ222" t="s">
        <v>199</v>
      </c>
      <c r="BM222">
        <v>200001</v>
      </c>
      <c r="BN222">
        <v>0</v>
      </c>
      <c r="BO222" t="s">
        <v>3</v>
      </c>
      <c r="BP222">
        <v>0</v>
      </c>
      <c r="BQ222">
        <v>4</v>
      </c>
      <c r="BR222">
        <v>0</v>
      </c>
      <c r="BS222">
        <v>1</v>
      </c>
      <c r="BT222">
        <v>1</v>
      </c>
      <c r="BU222">
        <v>1</v>
      </c>
      <c r="BV222">
        <v>1</v>
      </c>
      <c r="BW222">
        <v>1</v>
      </c>
      <c r="BX222">
        <v>1</v>
      </c>
      <c r="BY222" t="s">
        <v>3</v>
      </c>
      <c r="BZ222">
        <v>74</v>
      </c>
      <c r="CA222">
        <v>36</v>
      </c>
      <c r="CB222" t="s">
        <v>3</v>
      </c>
      <c r="CE222">
        <v>0</v>
      </c>
      <c r="CF222">
        <v>0</v>
      </c>
      <c r="CG222">
        <v>0</v>
      </c>
      <c r="CM222">
        <v>0</v>
      </c>
      <c r="CN222" t="s">
        <v>3</v>
      </c>
      <c r="CO222">
        <v>0</v>
      </c>
      <c r="CP222">
        <f>(P222+Q222+S222+R222)</f>
        <v>1251.1100000000001</v>
      </c>
      <c r="CQ222">
        <f>SUMIF(SmtRes!AQ70:'SmtRes'!AQ71,"=1",SmtRes!AA70:'SmtRes'!AA71)</f>
        <v>0</v>
      </c>
      <c r="CR222">
        <f>SUMIF(SmtRes!AQ70:'SmtRes'!AQ71,"=1",SmtRes!AB70:'SmtRes'!AB71)</f>
        <v>0</v>
      </c>
      <c r="CS222">
        <f>SUMIF(SmtRes!AQ70:'SmtRes'!AQ71,"=1",SmtRes!AC70:'SmtRes'!AC71)</f>
        <v>0</v>
      </c>
      <c r="CT222">
        <f>SUMIF(SmtRes!AQ70:'SmtRes'!AQ71,"=1",SmtRes!AD70:'SmtRes'!AD71)</f>
        <v>1303.24</v>
      </c>
      <c r="CU222">
        <f>AG222</f>
        <v>0</v>
      </c>
      <c r="CV222">
        <f>SUMIF(SmtRes!AQ70:'SmtRes'!AQ71,"=1",SmtRes!BU70:'SmtRes'!BU71)</f>
        <v>0.32</v>
      </c>
      <c r="CW222">
        <f>SUMIF(SmtRes!AQ70:'SmtRes'!AQ71,"=1",SmtRes!BV70:'SmtRes'!BV71)</f>
        <v>0</v>
      </c>
      <c r="CX222">
        <f>AJ222</f>
        <v>0</v>
      </c>
      <c r="CY222">
        <f>(((S222+R222)*AT222)/100)</f>
        <v>925.82140000000015</v>
      </c>
      <c r="CZ222">
        <f>(((S222+R222)*AU222)/100)</f>
        <v>450.39960000000008</v>
      </c>
      <c r="DC222" t="s">
        <v>3</v>
      </c>
      <c r="DD222" t="s">
        <v>3</v>
      </c>
      <c r="DE222" t="s">
        <v>3</v>
      </c>
      <c r="DF222" t="s">
        <v>3</v>
      </c>
      <c r="DG222" t="s">
        <v>3</v>
      </c>
      <c r="DH222" t="s">
        <v>3</v>
      </c>
      <c r="DI222" t="s">
        <v>3</v>
      </c>
      <c r="DJ222" t="s">
        <v>3</v>
      </c>
      <c r="DK222" t="s">
        <v>3</v>
      </c>
      <c r="DL222" t="s">
        <v>3</v>
      </c>
      <c r="DM222" t="s">
        <v>3</v>
      </c>
      <c r="DN222">
        <v>0</v>
      </c>
      <c r="DO222">
        <v>0</v>
      </c>
      <c r="DP222">
        <v>1</v>
      </c>
      <c r="DQ222">
        <v>1</v>
      </c>
      <c r="DU222">
        <v>1013</v>
      </c>
      <c r="DV222" t="s">
        <v>137</v>
      </c>
      <c r="DW222" t="s">
        <v>137</v>
      </c>
      <c r="DX222">
        <v>1</v>
      </c>
      <c r="DZ222" t="s">
        <v>3</v>
      </c>
      <c r="EA222" t="s">
        <v>3</v>
      </c>
      <c r="EB222" t="s">
        <v>3</v>
      </c>
      <c r="EC222" t="s">
        <v>3</v>
      </c>
      <c r="EE222">
        <v>64850927</v>
      </c>
      <c r="EF222">
        <v>4</v>
      </c>
      <c r="EG222" t="s">
        <v>187</v>
      </c>
      <c r="EH222">
        <v>83</v>
      </c>
      <c r="EI222" t="s">
        <v>187</v>
      </c>
      <c r="EJ222">
        <v>4</v>
      </c>
      <c r="EK222">
        <v>200001</v>
      </c>
      <c r="EL222" t="s">
        <v>192</v>
      </c>
      <c r="EM222" t="s">
        <v>193</v>
      </c>
      <c r="EO222" t="s">
        <v>3</v>
      </c>
      <c r="EQ222">
        <v>0</v>
      </c>
      <c r="ER222">
        <v>0</v>
      </c>
      <c r="ES222">
        <v>0</v>
      </c>
      <c r="ET222">
        <v>0</v>
      </c>
      <c r="EU222">
        <v>0</v>
      </c>
      <c r="EV222">
        <v>0</v>
      </c>
      <c r="EW222">
        <v>0.32</v>
      </c>
      <c r="EX222">
        <v>0</v>
      </c>
      <c r="EY222">
        <v>0</v>
      </c>
      <c r="FQ222">
        <v>0</v>
      </c>
      <c r="FR222">
        <f>ROUND(IF(BI222=3,GM222,0),2)</f>
        <v>0</v>
      </c>
      <c r="FS222">
        <v>0</v>
      </c>
      <c r="FX222">
        <v>74</v>
      </c>
      <c r="FY222">
        <v>36</v>
      </c>
      <c r="GA222" t="s">
        <v>3</v>
      </c>
      <c r="GD222">
        <v>1</v>
      </c>
      <c r="GF222">
        <v>-1660943006</v>
      </c>
      <c r="GG222">
        <v>2</v>
      </c>
      <c r="GH222">
        <v>1</v>
      </c>
      <c r="GI222">
        <v>-2</v>
      </c>
      <c r="GJ222">
        <v>0</v>
      </c>
      <c r="GK222">
        <v>0</v>
      </c>
      <c r="GL222">
        <f>ROUND(IF(AND(BH222=3,BI222=3,FS222&lt;&gt;0),P222,0),2)</f>
        <v>0</v>
      </c>
      <c r="GM222">
        <f>ROUND(O222+X222+Y222,2)+GX222</f>
        <v>2627.33</v>
      </c>
      <c r="GN222">
        <f>IF(OR(BI222=0,BI222=1),GM222-GX222,0)</f>
        <v>0</v>
      </c>
      <c r="GO222">
        <f>IF(BI222=2,GM222-GX222,0)</f>
        <v>0</v>
      </c>
      <c r="GP222">
        <f>IF(BI222=4,GM222-GX222,0)</f>
        <v>2627.33</v>
      </c>
      <c r="GR222">
        <v>0</v>
      </c>
      <c r="GS222">
        <v>0</v>
      </c>
      <c r="GT222">
        <v>0</v>
      </c>
      <c r="GU222" t="s">
        <v>3</v>
      </c>
      <c r="GV222">
        <f>ROUND((GT222),6)</f>
        <v>0</v>
      </c>
      <c r="GW222">
        <v>1</v>
      </c>
      <c r="GX222">
        <f>ROUND(HC222*I222,2)</f>
        <v>0</v>
      </c>
      <c r="HA222">
        <v>0</v>
      </c>
      <c r="HB222">
        <v>0</v>
      </c>
      <c r="HC222">
        <f>GV222*GW222</f>
        <v>0</v>
      </c>
      <c r="HE222" t="s">
        <v>3</v>
      </c>
      <c r="HF222" t="s">
        <v>3</v>
      </c>
      <c r="HM222" t="s">
        <v>3</v>
      </c>
      <c r="HN222" t="s">
        <v>194</v>
      </c>
      <c r="HO222" t="s">
        <v>195</v>
      </c>
      <c r="HP222" t="s">
        <v>187</v>
      </c>
      <c r="HQ222" t="s">
        <v>187</v>
      </c>
      <c r="IK222">
        <v>0</v>
      </c>
    </row>
    <row r="223" spans="1:245" x14ac:dyDescent="0.2">
      <c r="A223">
        <v>17</v>
      </c>
      <c r="B223">
        <v>1</v>
      </c>
      <c r="C223">
        <f>ROW(SmtRes!A73)</f>
        <v>73</v>
      </c>
      <c r="D223">
        <f>ROW(EtalonRes!A75)</f>
        <v>75</v>
      </c>
      <c r="E223" t="s">
        <v>200</v>
      </c>
      <c r="F223" t="s">
        <v>201</v>
      </c>
      <c r="G223" t="s">
        <v>202</v>
      </c>
      <c r="H223" t="s">
        <v>203</v>
      </c>
      <c r="I223">
        <v>2</v>
      </c>
      <c r="J223">
        <v>0</v>
      </c>
      <c r="K223">
        <v>2</v>
      </c>
      <c r="O223">
        <f>ROUND(CP223,2)</f>
        <v>5666.04</v>
      </c>
      <c r="P223">
        <f>SUMIF(SmtRes!AQ72:'SmtRes'!AQ73,"=1",SmtRes!DF72:'SmtRes'!DF73)</f>
        <v>0</v>
      </c>
      <c r="Q223">
        <f>SUMIF(SmtRes!AQ72:'SmtRes'!AQ73,"=1",SmtRes!DG72:'SmtRes'!DG73)</f>
        <v>0</v>
      </c>
      <c r="R223">
        <f>SUMIF(SmtRes!AQ72:'SmtRes'!AQ73,"=1",SmtRes!DH72:'SmtRes'!DH73)</f>
        <v>0</v>
      </c>
      <c r="S223">
        <f>SUMIF(SmtRes!AQ72:'SmtRes'!AQ73,"=1",SmtRes!DI72:'SmtRes'!DI73)</f>
        <v>5666.04</v>
      </c>
      <c r="T223">
        <f>ROUND(CU223*I223,2)</f>
        <v>0</v>
      </c>
      <c r="U223">
        <f>SUMIF(SmtRes!AQ72:'SmtRes'!AQ73,"=1",SmtRes!CV72:'SmtRes'!CV73)</f>
        <v>9.7199999999999989</v>
      </c>
      <c r="V223">
        <f>SUMIF(SmtRes!AQ72:'SmtRes'!AQ73,"=1",SmtRes!CW72:'SmtRes'!CW73)</f>
        <v>0</v>
      </c>
      <c r="W223">
        <f>ROUND(CX223*I223,2)</f>
        <v>0</v>
      </c>
      <c r="X223">
        <f t="shared" si="112"/>
        <v>4192.87</v>
      </c>
      <c r="Y223">
        <f t="shared" si="112"/>
        <v>2039.77</v>
      </c>
      <c r="AA223">
        <v>65174513</v>
      </c>
      <c r="AB223">
        <f>ROUND((AC223+AD223+AF223),6)</f>
        <v>2833.0230000000001</v>
      </c>
      <c r="AC223">
        <f>ROUND((0),6)</f>
        <v>0</v>
      </c>
      <c r="AD223">
        <f>ROUND((((0)-(0))+AE223),6)</f>
        <v>0</v>
      </c>
      <c r="AE223">
        <f>ROUND((0),6)</f>
        <v>0</v>
      </c>
      <c r="AF223">
        <f>ROUND((SUM(SmtRes!BT72:'SmtRes'!BT73)),6)</f>
        <v>2833.0230000000001</v>
      </c>
      <c r="AG223">
        <f>ROUND((AP223),6)</f>
        <v>0</v>
      </c>
      <c r="AH223">
        <f>(SUM(SmtRes!BU72:'SmtRes'!BU73))</f>
        <v>4.8599999999999994</v>
      </c>
      <c r="AI223">
        <f>(0)</f>
        <v>0</v>
      </c>
      <c r="AJ223">
        <f>(AS223)</f>
        <v>0</v>
      </c>
      <c r="AK223">
        <v>2833.0229999999997</v>
      </c>
      <c r="AL223">
        <v>0</v>
      </c>
      <c r="AM223">
        <v>0</v>
      </c>
      <c r="AN223">
        <v>0</v>
      </c>
      <c r="AO223">
        <v>2833.0229999999997</v>
      </c>
      <c r="AP223">
        <v>0</v>
      </c>
      <c r="AQ223">
        <v>4.8599999999999994</v>
      </c>
      <c r="AR223">
        <v>0</v>
      </c>
      <c r="AS223">
        <v>0</v>
      </c>
      <c r="AT223">
        <v>74</v>
      </c>
      <c r="AU223">
        <v>36</v>
      </c>
      <c r="AV223">
        <v>1</v>
      </c>
      <c r="AW223">
        <v>1</v>
      </c>
      <c r="AZ223">
        <v>1</v>
      </c>
      <c r="BA223">
        <v>1</v>
      </c>
      <c r="BB223">
        <v>1</v>
      </c>
      <c r="BC223">
        <v>1</v>
      </c>
      <c r="BD223" t="s">
        <v>3</v>
      </c>
      <c r="BE223" t="s">
        <v>3</v>
      </c>
      <c r="BF223" t="s">
        <v>3</v>
      </c>
      <c r="BG223" t="s">
        <v>3</v>
      </c>
      <c r="BH223">
        <v>0</v>
      </c>
      <c r="BI223">
        <v>4</v>
      </c>
      <c r="BJ223" t="s">
        <v>204</v>
      </c>
      <c r="BM223">
        <v>200001</v>
      </c>
      <c r="BN223">
        <v>0</v>
      </c>
      <c r="BO223" t="s">
        <v>3</v>
      </c>
      <c r="BP223">
        <v>0</v>
      </c>
      <c r="BQ223">
        <v>4</v>
      </c>
      <c r="BR223">
        <v>0</v>
      </c>
      <c r="BS223">
        <v>1</v>
      </c>
      <c r="BT223">
        <v>1</v>
      </c>
      <c r="BU223">
        <v>1</v>
      </c>
      <c r="BV223">
        <v>1</v>
      </c>
      <c r="BW223">
        <v>1</v>
      </c>
      <c r="BX223">
        <v>1</v>
      </c>
      <c r="BY223" t="s">
        <v>3</v>
      </c>
      <c r="BZ223">
        <v>74</v>
      </c>
      <c r="CA223">
        <v>36</v>
      </c>
      <c r="CB223" t="s">
        <v>3</v>
      </c>
      <c r="CE223">
        <v>0</v>
      </c>
      <c r="CF223">
        <v>0</v>
      </c>
      <c r="CG223">
        <v>0</v>
      </c>
      <c r="CM223">
        <v>0</v>
      </c>
      <c r="CN223" t="s">
        <v>3</v>
      </c>
      <c r="CO223">
        <v>0</v>
      </c>
      <c r="CP223">
        <f>(P223+Q223+S223+R223)</f>
        <v>5666.04</v>
      </c>
      <c r="CQ223">
        <f>SUMIF(SmtRes!AQ72:'SmtRes'!AQ73,"=1",SmtRes!AA72:'SmtRes'!AA73)</f>
        <v>0</v>
      </c>
      <c r="CR223">
        <f>SUMIF(SmtRes!AQ72:'SmtRes'!AQ73,"=1",SmtRes!AB72:'SmtRes'!AB73)</f>
        <v>0</v>
      </c>
      <c r="CS223">
        <f>SUMIF(SmtRes!AQ72:'SmtRes'!AQ73,"=1",SmtRes!AC72:'SmtRes'!AC73)</f>
        <v>0</v>
      </c>
      <c r="CT223">
        <f>SUMIF(SmtRes!AQ72:'SmtRes'!AQ73,"=1",SmtRes!AD72:'SmtRes'!AD73)</f>
        <v>1134.8499999999999</v>
      </c>
      <c r="CU223">
        <f>AG223</f>
        <v>0</v>
      </c>
      <c r="CV223">
        <f>SUMIF(SmtRes!AQ72:'SmtRes'!AQ73,"=1",SmtRes!BU72:'SmtRes'!BU73)</f>
        <v>4.8599999999999994</v>
      </c>
      <c r="CW223">
        <f>SUMIF(SmtRes!AQ72:'SmtRes'!AQ73,"=1",SmtRes!BV72:'SmtRes'!BV73)</f>
        <v>0</v>
      </c>
      <c r="CX223">
        <f>AJ223</f>
        <v>0</v>
      </c>
      <c r="CY223">
        <f>(((S223+R223)*AT223)/100)</f>
        <v>4192.8696</v>
      </c>
      <c r="CZ223">
        <f>(((S223+R223)*AU223)/100)</f>
        <v>2039.7744</v>
      </c>
      <c r="DC223" t="s">
        <v>3</v>
      </c>
      <c r="DD223" t="s">
        <v>3</v>
      </c>
      <c r="DE223" t="s">
        <v>3</v>
      </c>
      <c r="DF223" t="s">
        <v>3</v>
      </c>
      <c r="DG223" t="s">
        <v>3</v>
      </c>
      <c r="DH223" t="s">
        <v>3</v>
      </c>
      <c r="DI223" t="s">
        <v>3</v>
      </c>
      <c r="DJ223" t="s">
        <v>3</v>
      </c>
      <c r="DK223" t="s">
        <v>3</v>
      </c>
      <c r="DL223" t="s">
        <v>3</v>
      </c>
      <c r="DM223" t="s">
        <v>3</v>
      </c>
      <c r="DN223">
        <v>0</v>
      </c>
      <c r="DO223">
        <v>0</v>
      </c>
      <c r="DP223">
        <v>1</v>
      </c>
      <c r="DQ223">
        <v>1</v>
      </c>
      <c r="DU223">
        <v>1013</v>
      </c>
      <c r="DV223" t="s">
        <v>203</v>
      </c>
      <c r="DW223" t="s">
        <v>203</v>
      </c>
      <c r="DX223">
        <v>1</v>
      </c>
      <c r="DZ223" t="s">
        <v>3</v>
      </c>
      <c r="EA223" t="s">
        <v>3</v>
      </c>
      <c r="EB223" t="s">
        <v>3</v>
      </c>
      <c r="EC223" t="s">
        <v>3</v>
      </c>
      <c r="EE223">
        <v>64850927</v>
      </c>
      <c r="EF223">
        <v>4</v>
      </c>
      <c r="EG223" t="s">
        <v>187</v>
      </c>
      <c r="EH223">
        <v>83</v>
      </c>
      <c r="EI223" t="s">
        <v>187</v>
      </c>
      <c r="EJ223">
        <v>4</v>
      </c>
      <c r="EK223">
        <v>200001</v>
      </c>
      <c r="EL223" t="s">
        <v>192</v>
      </c>
      <c r="EM223" t="s">
        <v>193</v>
      </c>
      <c r="EO223" t="s">
        <v>3</v>
      </c>
      <c r="EQ223">
        <v>0</v>
      </c>
      <c r="ER223">
        <v>0</v>
      </c>
      <c r="ES223">
        <v>0</v>
      </c>
      <c r="ET223">
        <v>0</v>
      </c>
      <c r="EU223">
        <v>0</v>
      </c>
      <c r="EV223">
        <v>0</v>
      </c>
      <c r="EW223">
        <v>4.8600000000000003</v>
      </c>
      <c r="EX223">
        <v>0</v>
      </c>
      <c r="EY223">
        <v>0</v>
      </c>
      <c r="FQ223">
        <v>0</v>
      </c>
      <c r="FR223">
        <f>ROUND(IF(BI223=3,GM223,0),2)</f>
        <v>0</v>
      </c>
      <c r="FS223">
        <v>0</v>
      </c>
      <c r="FX223">
        <v>74</v>
      </c>
      <c r="FY223">
        <v>36</v>
      </c>
      <c r="GA223" t="s">
        <v>3</v>
      </c>
      <c r="GD223">
        <v>1</v>
      </c>
      <c r="GF223">
        <v>1768542811</v>
      </c>
      <c r="GG223">
        <v>2</v>
      </c>
      <c r="GH223">
        <v>1</v>
      </c>
      <c r="GI223">
        <v>-2</v>
      </c>
      <c r="GJ223">
        <v>0</v>
      </c>
      <c r="GK223">
        <v>0</v>
      </c>
      <c r="GL223">
        <f>ROUND(IF(AND(BH223=3,BI223=3,FS223&lt;&gt;0),P223,0),2)</f>
        <v>0</v>
      </c>
      <c r="GM223">
        <f>ROUND(O223+X223+Y223,2)+GX223</f>
        <v>11898.68</v>
      </c>
      <c r="GN223">
        <f>IF(OR(BI223=0,BI223=1),GM223-GX223,0)</f>
        <v>0</v>
      </c>
      <c r="GO223">
        <f>IF(BI223=2,GM223-GX223,0)</f>
        <v>0</v>
      </c>
      <c r="GP223">
        <f>IF(BI223=4,GM223-GX223,0)</f>
        <v>11898.68</v>
      </c>
      <c r="GR223">
        <v>0</v>
      </c>
      <c r="GS223">
        <v>0</v>
      </c>
      <c r="GT223">
        <v>0</v>
      </c>
      <c r="GU223" t="s">
        <v>3</v>
      </c>
      <c r="GV223">
        <f>ROUND((GT223),6)</f>
        <v>0</v>
      </c>
      <c r="GW223">
        <v>1</v>
      </c>
      <c r="GX223">
        <f>ROUND(HC223*I223,2)</f>
        <v>0</v>
      </c>
      <c r="HA223">
        <v>0</v>
      </c>
      <c r="HB223">
        <v>0</v>
      </c>
      <c r="HC223">
        <f>GV223*GW223</f>
        <v>0</v>
      </c>
      <c r="HE223" t="s">
        <v>3</v>
      </c>
      <c r="HF223" t="s">
        <v>3</v>
      </c>
      <c r="HM223" t="s">
        <v>3</v>
      </c>
      <c r="HN223" t="s">
        <v>194</v>
      </c>
      <c r="HO223" t="s">
        <v>195</v>
      </c>
      <c r="HP223" t="s">
        <v>187</v>
      </c>
      <c r="HQ223" t="s">
        <v>187</v>
      </c>
      <c r="IK223">
        <v>0</v>
      </c>
    </row>
    <row r="224" spans="1:245" x14ac:dyDescent="0.2">
      <c r="A224">
        <v>17</v>
      </c>
      <c r="B224">
        <v>1</v>
      </c>
      <c r="C224">
        <f>ROW(SmtRes!A75)</f>
        <v>75</v>
      </c>
      <c r="D224">
        <f>ROW(EtalonRes!A77)</f>
        <v>77</v>
      </c>
      <c r="E224" t="s">
        <v>205</v>
      </c>
      <c r="F224" t="s">
        <v>206</v>
      </c>
      <c r="G224" t="s">
        <v>207</v>
      </c>
      <c r="H224" t="s">
        <v>208</v>
      </c>
      <c r="I224">
        <f>ROUND(820/500,7)</f>
        <v>1.64</v>
      </c>
      <c r="J224">
        <v>0</v>
      </c>
      <c r="K224">
        <f>ROUND(820/500,7)</f>
        <v>1.64</v>
      </c>
      <c r="O224">
        <f>ROUND(CP224,2)</f>
        <v>1385.9</v>
      </c>
      <c r="P224">
        <f>SUMIF(SmtRes!AQ74:'SmtRes'!AQ75,"=1",SmtRes!DF74:'SmtRes'!DF75)</f>
        <v>0</v>
      </c>
      <c r="Q224">
        <f>SUMIF(SmtRes!AQ74:'SmtRes'!AQ75,"=1",SmtRes!DG74:'SmtRes'!DG75)</f>
        <v>0</v>
      </c>
      <c r="R224">
        <f>SUMIF(SmtRes!AQ74:'SmtRes'!AQ75,"=1",SmtRes!DH74:'SmtRes'!DH75)</f>
        <v>0</v>
      </c>
      <c r="S224">
        <f>SUMIF(SmtRes!AQ74:'SmtRes'!AQ75,"=1",SmtRes!DI74:'SmtRes'!DI75)</f>
        <v>1385.9</v>
      </c>
      <c r="T224">
        <f>ROUND(CU224*I224,2)</f>
        <v>0</v>
      </c>
      <c r="U224">
        <f>SUMIF(SmtRes!AQ74:'SmtRes'!AQ75,"=1",SmtRes!CV74:'SmtRes'!CV75)</f>
        <v>2.3780000000000001</v>
      </c>
      <c r="V224">
        <f>SUMIF(SmtRes!AQ74:'SmtRes'!AQ75,"=1",SmtRes!CW74:'SmtRes'!CW75)</f>
        <v>0</v>
      </c>
      <c r="W224">
        <f>ROUND(CX224*I224,2)</f>
        <v>0</v>
      </c>
      <c r="X224">
        <f t="shared" si="112"/>
        <v>1025.57</v>
      </c>
      <c r="Y224">
        <f t="shared" si="112"/>
        <v>498.92</v>
      </c>
      <c r="AA224">
        <v>65174513</v>
      </c>
      <c r="AB224">
        <f>ROUND((AC224+AD224+AF224),6)</f>
        <v>845.06</v>
      </c>
      <c r="AC224">
        <f>ROUND((0),6)</f>
        <v>0</v>
      </c>
      <c r="AD224">
        <f>ROUND((((0)-(0))+AE224),6)</f>
        <v>0</v>
      </c>
      <c r="AE224">
        <f>ROUND((0),6)</f>
        <v>0</v>
      </c>
      <c r="AF224">
        <f>ROUND((SUM(SmtRes!BT74:'SmtRes'!BT75)),6)</f>
        <v>845.06</v>
      </c>
      <c r="AG224">
        <f>ROUND((AP224),6)</f>
        <v>0</v>
      </c>
      <c r="AH224">
        <f>(SUM(SmtRes!BU74:'SmtRes'!BU75))</f>
        <v>1.45</v>
      </c>
      <c r="AI224">
        <f>(0)</f>
        <v>0</v>
      </c>
      <c r="AJ224">
        <f>(AS224)</f>
        <v>0</v>
      </c>
      <c r="AK224">
        <v>845.06</v>
      </c>
      <c r="AL224">
        <v>0</v>
      </c>
      <c r="AM224">
        <v>0</v>
      </c>
      <c r="AN224">
        <v>0</v>
      </c>
      <c r="AO224">
        <v>845.06</v>
      </c>
      <c r="AP224">
        <v>0</v>
      </c>
      <c r="AQ224">
        <v>1.45</v>
      </c>
      <c r="AR224">
        <v>0</v>
      </c>
      <c r="AS224">
        <v>0</v>
      </c>
      <c r="AT224">
        <v>74</v>
      </c>
      <c r="AU224">
        <v>36</v>
      </c>
      <c r="AV224">
        <v>1</v>
      </c>
      <c r="AW224">
        <v>1</v>
      </c>
      <c r="AZ224">
        <v>1</v>
      </c>
      <c r="BA224">
        <v>1</v>
      </c>
      <c r="BB224">
        <v>1</v>
      </c>
      <c r="BC224">
        <v>1</v>
      </c>
      <c r="BD224" t="s">
        <v>3</v>
      </c>
      <c r="BE224" t="s">
        <v>3</v>
      </c>
      <c r="BF224" t="s">
        <v>3</v>
      </c>
      <c r="BG224" t="s">
        <v>3</v>
      </c>
      <c r="BH224">
        <v>0</v>
      </c>
      <c r="BI224">
        <v>4</v>
      </c>
      <c r="BJ224" t="s">
        <v>209</v>
      </c>
      <c r="BM224">
        <v>200001</v>
      </c>
      <c r="BN224">
        <v>0</v>
      </c>
      <c r="BO224" t="s">
        <v>3</v>
      </c>
      <c r="BP224">
        <v>0</v>
      </c>
      <c r="BQ224">
        <v>4</v>
      </c>
      <c r="BR224">
        <v>0</v>
      </c>
      <c r="BS224">
        <v>1</v>
      </c>
      <c r="BT224">
        <v>1</v>
      </c>
      <c r="BU224">
        <v>1</v>
      </c>
      <c r="BV224">
        <v>1</v>
      </c>
      <c r="BW224">
        <v>1</v>
      </c>
      <c r="BX224">
        <v>1</v>
      </c>
      <c r="BY224" t="s">
        <v>3</v>
      </c>
      <c r="BZ224">
        <v>74</v>
      </c>
      <c r="CA224">
        <v>36</v>
      </c>
      <c r="CB224" t="s">
        <v>3</v>
      </c>
      <c r="CE224">
        <v>0</v>
      </c>
      <c r="CF224">
        <v>0</v>
      </c>
      <c r="CG224">
        <v>0</v>
      </c>
      <c r="CM224">
        <v>0</v>
      </c>
      <c r="CN224" t="s">
        <v>3</v>
      </c>
      <c r="CO224">
        <v>0</v>
      </c>
      <c r="CP224">
        <f>(P224+Q224+S224+R224)</f>
        <v>1385.9</v>
      </c>
      <c r="CQ224">
        <f>SUMIF(SmtRes!AQ74:'SmtRes'!AQ75,"=1",SmtRes!AA74:'SmtRes'!AA75)</f>
        <v>0</v>
      </c>
      <c r="CR224">
        <f>SUMIF(SmtRes!AQ74:'SmtRes'!AQ75,"=1",SmtRes!AB74:'SmtRes'!AB75)</f>
        <v>0</v>
      </c>
      <c r="CS224">
        <f>SUMIF(SmtRes!AQ74:'SmtRes'!AQ75,"=1",SmtRes!AC74:'SmtRes'!AC75)</f>
        <v>0</v>
      </c>
      <c r="CT224">
        <f>SUMIF(SmtRes!AQ74:'SmtRes'!AQ75,"=1",SmtRes!AD74:'SmtRes'!AD75)</f>
        <v>1134.8499999999999</v>
      </c>
      <c r="CU224">
        <f>AG224</f>
        <v>0</v>
      </c>
      <c r="CV224">
        <f>SUMIF(SmtRes!AQ74:'SmtRes'!AQ75,"=1",SmtRes!BU74:'SmtRes'!BU75)</f>
        <v>1.45</v>
      </c>
      <c r="CW224">
        <f>SUMIF(SmtRes!AQ74:'SmtRes'!AQ75,"=1",SmtRes!BV74:'SmtRes'!BV75)</f>
        <v>0</v>
      </c>
      <c r="CX224">
        <f>AJ224</f>
        <v>0</v>
      </c>
      <c r="CY224">
        <f>(((S224+R224)*AT224)/100)</f>
        <v>1025.566</v>
      </c>
      <c r="CZ224">
        <f>(((S224+R224)*AU224)/100)</f>
        <v>498.92400000000004</v>
      </c>
      <c r="DC224" t="s">
        <v>3</v>
      </c>
      <c r="DD224" t="s">
        <v>3</v>
      </c>
      <c r="DE224" t="s">
        <v>3</v>
      </c>
      <c r="DF224" t="s">
        <v>3</v>
      </c>
      <c r="DG224" t="s">
        <v>3</v>
      </c>
      <c r="DH224" t="s">
        <v>3</v>
      </c>
      <c r="DI224" t="s">
        <v>3</v>
      </c>
      <c r="DJ224" t="s">
        <v>3</v>
      </c>
      <c r="DK224" t="s">
        <v>3</v>
      </c>
      <c r="DL224" t="s">
        <v>3</v>
      </c>
      <c r="DM224" t="s">
        <v>3</v>
      </c>
      <c r="DN224">
        <v>0</v>
      </c>
      <c r="DO224">
        <v>0</v>
      </c>
      <c r="DP224">
        <v>1</v>
      </c>
      <c r="DQ224">
        <v>1</v>
      </c>
      <c r="DU224">
        <v>1013</v>
      </c>
      <c r="DV224" t="s">
        <v>208</v>
      </c>
      <c r="DW224" t="s">
        <v>208</v>
      </c>
      <c r="DX224">
        <v>1</v>
      </c>
      <c r="DZ224" t="s">
        <v>3</v>
      </c>
      <c r="EA224" t="s">
        <v>3</v>
      </c>
      <c r="EB224" t="s">
        <v>3</v>
      </c>
      <c r="EC224" t="s">
        <v>3</v>
      </c>
      <c r="EE224">
        <v>64850927</v>
      </c>
      <c r="EF224">
        <v>4</v>
      </c>
      <c r="EG224" t="s">
        <v>187</v>
      </c>
      <c r="EH224">
        <v>83</v>
      </c>
      <c r="EI224" t="s">
        <v>187</v>
      </c>
      <c r="EJ224">
        <v>4</v>
      </c>
      <c r="EK224">
        <v>200001</v>
      </c>
      <c r="EL224" t="s">
        <v>192</v>
      </c>
      <c r="EM224" t="s">
        <v>193</v>
      </c>
      <c r="EO224" t="s">
        <v>3</v>
      </c>
      <c r="EQ224">
        <v>0</v>
      </c>
      <c r="ER224">
        <v>0</v>
      </c>
      <c r="ES224">
        <v>0</v>
      </c>
      <c r="ET224">
        <v>0</v>
      </c>
      <c r="EU224">
        <v>0</v>
      </c>
      <c r="EV224">
        <v>0</v>
      </c>
      <c r="EW224">
        <v>1.45</v>
      </c>
      <c r="EX224">
        <v>0</v>
      </c>
      <c r="EY224">
        <v>0</v>
      </c>
      <c r="FQ224">
        <v>0</v>
      </c>
      <c r="FR224">
        <f>ROUND(IF(BI224=3,GM224,0),2)</f>
        <v>0</v>
      </c>
      <c r="FS224">
        <v>0</v>
      </c>
      <c r="FX224">
        <v>74</v>
      </c>
      <c r="FY224">
        <v>36</v>
      </c>
      <c r="GA224" t="s">
        <v>3</v>
      </c>
      <c r="GD224">
        <v>1</v>
      </c>
      <c r="GF224">
        <v>1948945612</v>
      </c>
      <c r="GG224">
        <v>2</v>
      </c>
      <c r="GH224">
        <v>1</v>
      </c>
      <c r="GI224">
        <v>-2</v>
      </c>
      <c r="GJ224">
        <v>0</v>
      </c>
      <c r="GK224">
        <v>0</v>
      </c>
      <c r="GL224">
        <f>ROUND(IF(AND(BH224=3,BI224=3,FS224&lt;&gt;0),P224,0),2)</f>
        <v>0</v>
      </c>
      <c r="GM224">
        <f>ROUND(O224+X224+Y224,2)+GX224</f>
        <v>2910.39</v>
      </c>
      <c r="GN224">
        <f>IF(OR(BI224=0,BI224=1),GM224-GX224,0)</f>
        <v>0</v>
      </c>
      <c r="GO224">
        <f>IF(BI224=2,GM224-GX224,0)</f>
        <v>0</v>
      </c>
      <c r="GP224">
        <f>IF(BI224=4,GM224-GX224,0)</f>
        <v>2910.39</v>
      </c>
      <c r="GR224">
        <v>0</v>
      </c>
      <c r="GS224">
        <v>0</v>
      </c>
      <c r="GT224">
        <v>0</v>
      </c>
      <c r="GU224" t="s">
        <v>3</v>
      </c>
      <c r="GV224">
        <f>ROUND((GT224),6)</f>
        <v>0</v>
      </c>
      <c r="GW224">
        <v>1</v>
      </c>
      <c r="GX224">
        <f>ROUND(HC224*I224,2)</f>
        <v>0</v>
      </c>
      <c r="HA224">
        <v>0</v>
      </c>
      <c r="HB224">
        <v>0</v>
      </c>
      <c r="HC224">
        <f>GV224*GW224</f>
        <v>0</v>
      </c>
      <c r="HE224" t="s">
        <v>3</v>
      </c>
      <c r="HF224" t="s">
        <v>3</v>
      </c>
      <c r="HM224" t="s">
        <v>3</v>
      </c>
      <c r="HN224" t="s">
        <v>194</v>
      </c>
      <c r="HO224" t="s">
        <v>195</v>
      </c>
      <c r="HP224" t="s">
        <v>187</v>
      </c>
      <c r="HQ224" t="s">
        <v>187</v>
      </c>
      <c r="IK224">
        <v>0</v>
      </c>
    </row>
    <row r="226" spans="1:206" x14ac:dyDescent="0.2">
      <c r="A226" s="2">
        <v>51</v>
      </c>
      <c r="B226" s="2">
        <f>B217</f>
        <v>1</v>
      </c>
      <c r="C226" s="2">
        <f>A217</f>
        <v>4</v>
      </c>
      <c r="D226" s="2">
        <f>ROW(A217)</f>
        <v>217</v>
      </c>
      <c r="E226" s="2"/>
      <c r="F226" s="2" t="str">
        <f>IF(F217&lt;&gt;"",F217,"")</f>
        <v>Новый раздел</v>
      </c>
      <c r="G226" s="2" t="str">
        <f>IF(G217&lt;&gt;"",G217,"")</f>
        <v>Пусконаладочные работы</v>
      </c>
      <c r="H226" s="2">
        <v>0</v>
      </c>
      <c r="I226" s="2"/>
      <c r="J226" s="2"/>
      <c r="K226" s="2"/>
      <c r="L226" s="2"/>
      <c r="M226" s="2"/>
      <c r="N226" s="2"/>
      <c r="O226" s="2">
        <f t="shared" ref="O226:T226" si="113">ROUND(AB226,2)</f>
        <v>14636.8</v>
      </c>
      <c r="P226" s="2">
        <f t="shared" si="113"/>
        <v>0</v>
      </c>
      <c r="Q226" s="2">
        <f t="shared" si="113"/>
        <v>0</v>
      </c>
      <c r="R226" s="2">
        <f t="shared" si="113"/>
        <v>0</v>
      </c>
      <c r="S226" s="2">
        <f t="shared" si="113"/>
        <v>14636.8</v>
      </c>
      <c r="T226" s="2">
        <f t="shared" si="113"/>
        <v>0</v>
      </c>
      <c r="U226" s="2">
        <f>AH226</f>
        <v>23.738</v>
      </c>
      <c r="V226" s="2">
        <f>AI226</f>
        <v>0</v>
      </c>
      <c r="W226" s="2">
        <f>ROUND(AJ226,2)</f>
        <v>0</v>
      </c>
      <c r="X226" s="2">
        <f>ROUND(AK226,2)</f>
        <v>10831.24</v>
      </c>
      <c r="Y226" s="2">
        <f>ROUND(AL226,2)</f>
        <v>5269.24</v>
      </c>
      <c r="Z226" s="2"/>
      <c r="AA226" s="2"/>
      <c r="AB226" s="2">
        <f>ROUND(SUMIF(AA221:AA224,"=65174513",O221:O224),2)</f>
        <v>14636.8</v>
      </c>
      <c r="AC226" s="2">
        <f>ROUND(SUMIF(AA221:AA224,"=65174513",P221:P224),2)</f>
        <v>0</v>
      </c>
      <c r="AD226" s="2">
        <f>ROUND(SUMIF(AA221:AA224,"=65174513",Q221:Q224),2)</f>
        <v>0</v>
      </c>
      <c r="AE226" s="2">
        <f>ROUND(SUMIF(AA221:AA224,"=65174513",R221:R224),2)</f>
        <v>0</v>
      </c>
      <c r="AF226" s="2">
        <f>ROUND(SUMIF(AA221:AA224,"=65174513",S221:S224),2)</f>
        <v>14636.8</v>
      </c>
      <c r="AG226" s="2">
        <f>ROUND(SUMIF(AA221:AA224,"=65174513",T221:T224),2)</f>
        <v>0</v>
      </c>
      <c r="AH226" s="2">
        <f>SUMIF(AA221:AA224,"=65174513",U221:U224)</f>
        <v>23.738</v>
      </c>
      <c r="AI226" s="2">
        <f>SUMIF(AA221:AA224,"=65174513",V221:V224)</f>
        <v>0</v>
      </c>
      <c r="AJ226" s="2">
        <f>ROUND(SUMIF(AA221:AA224,"=65174513",W221:W224),2)</f>
        <v>0</v>
      </c>
      <c r="AK226" s="2">
        <f>ROUND(SUMIF(AA221:AA224,"=65174513",X221:X224),2)</f>
        <v>10831.24</v>
      </c>
      <c r="AL226" s="2">
        <f>ROUND(SUMIF(AA221:AA224,"=65174513",Y221:Y224),2)</f>
        <v>5269.24</v>
      </c>
      <c r="AM226" s="2"/>
      <c r="AN226" s="2"/>
      <c r="AO226" s="2">
        <f t="shared" ref="AO226:BD226" si="114">ROUND(BX226,2)</f>
        <v>0</v>
      </c>
      <c r="AP226" s="2">
        <f t="shared" si="114"/>
        <v>0</v>
      </c>
      <c r="AQ226" s="2">
        <f t="shared" si="114"/>
        <v>0</v>
      </c>
      <c r="AR226" s="2">
        <f t="shared" si="114"/>
        <v>30737.279999999999</v>
      </c>
      <c r="AS226" s="2">
        <f t="shared" si="114"/>
        <v>0</v>
      </c>
      <c r="AT226" s="2">
        <f t="shared" si="114"/>
        <v>0</v>
      </c>
      <c r="AU226" s="2">
        <f t="shared" si="114"/>
        <v>30737.279999999999</v>
      </c>
      <c r="AV226" s="2">
        <f t="shared" si="114"/>
        <v>0</v>
      </c>
      <c r="AW226" s="2">
        <f t="shared" si="114"/>
        <v>0</v>
      </c>
      <c r="AX226" s="2">
        <f t="shared" si="114"/>
        <v>0</v>
      </c>
      <c r="AY226" s="2">
        <f t="shared" si="114"/>
        <v>0</v>
      </c>
      <c r="AZ226" s="2">
        <f t="shared" si="114"/>
        <v>0</v>
      </c>
      <c r="BA226" s="2">
        <f t="shared" si="114"/>
        <v>0</v>
      </c>
      <c r="BB226" s="2">
        <f t="shared" si="114"/>
        <v>0</v>
      </c>
      <c r="BC226" s="2">
        <f t="shared" si="114"/>
        <v>0</v>
      </c>
      <c r="BD226" s="2">
        <f t="shared" si="114"/>
        <v>0</v>
      </c>
      <c r="BE226" s="2"/>
      <c r="BF226" s="2"/>
      <c r="BG226" s="2"/>
      <c r="BH226" s="2"/>
      <c r="BI226" s="2"/>
      <c r="BJ226" s="2"/>
      <c r="BK226" s="2"/>
      <c r="BL226" s="2"/>
      <c r="BM226" s="2"/>
      <c r="BN226" s="2"/>
      <c r="BO226" s="2"/>
      <c r="BP226" s="2"/>
      <c r="BQ226" s="2"/>
      <c r="BR226" s="2"/>
      <c r="BS226" s="2"/>
      <c r="BT226" s="2"/>
      <c r="BU226" s="2"/>
      <c r="BV226" s="2"/>
      <c r="BW226" s="2"/>
      <c r="BX226" s="2">
        <f>ROUND(SUMIF(AA221:AA224,"=65174513",FQ221:FQ224),2)</f>
        <v>0</v>
      </c>
      <c r="BY226" s="2">
        <f>ROUND(SUMIF(AA221:AA224,"=65174513",FR221:FR224),2)</f>
        <v>0</v>
      </c>
      <c r="BZ226" s="2">
        <f>ROUND(SUMIF(AA221:AA224,"=65174513",GL221:GL224),2)</f>
        <v>0</v>
      </c>
      <c r="CA226" s="2">
        <f>ROUND(SUMIF(AA221:AA224,"=65174513",GM221:GM224),2)</f>
        <v>30737.279999999999</v>
      </c>
      <c r="CB226" s="2">
        <f>ROUND(SUMIF(AA221:AA224,"=65174513",GN221:GN224),2)</f>
        <v>0</v>
      </c>
      <c r="CC226" s="2">
        <f>ROUND(SUMIF(AA221:AA224,"=65174513",GO221:GO224),2)</f>
        <v>0</v>
      </c>
      <c r="CD226" s="2">
        <f>ROUND(SUMIF(AA221:AA224,"=65174513",GP221:GP224),2)</f>
        <v>30737.279999999999</v>
      </c>
      <c r="CE226" s="2">
        <f>AC226-BX226</f>
        <v>0</v>
      </c>
      <c r="CF226" s="2">
        <f>AC226-BY226</f>
        <v>0</v>
      </c>
      <c r="CG226" s="2">
        <f>BX226-BZ226</f>
        <v>0</v>
      </c>
      <c r="CH226" s="2">
        <f>AC226-BX226-BY226+BZ226</f>
        <v>0</v>
      </c>
      <c r="CI226" s="2">
        <f>BY226-BZ226</f>
        <v>0</v>
      </c>
      <c r="CJ226" s="2">
        <f>ROUND(SUMIF(AA221:AA224,"=65174513",GX221:GX224),2)</f>
        <v>0</v>
      </c>
      <c r="CK226" s="2">
        <f>ROUND(SUMIF(AA221:AA224,"=65174513",GY221:GY224),2)</f>
        <v>0</v>
      </c>
      <c r="CL226" s="2">
        <f>ROUND(SUMIF(AA221:AA224,"=65174513",GZ221:GZ224),2)</f>
        <v>0</v>
      </c>
      <c r="CM226" s="2">
        <f>ROUND(SUMIF(AA221:AA224,"=65174513",HD221:HD224),2)</f>
        <v>0</v>
      </c>
      <c r="CN226" s="2"/>
      <c r="CO226" s="2"/>
      <c r="CP226" s="2"/>
      <c r="CQ226" s="2"/>
      <c r="CR226" s="2"/>
      <c r="CS226" s="2"/>
      <c r="CT226" s="2"/>
      <c r="CU226" s="2"/>
      <c r="CV226" s="2"/>
      <c r="CW226" s="2"/>
      <c r="CX226" s="2"/>
      <c r="CY226" s="2"/>
      <c r="CZ226" s="2"/>
      <c r="DA226" s="2"/>
      <c r="DB226" s="2"/>
      <c r="DC226" s="2"/>
      <c r="DD226" s="2"/>
      <c r="DE226" s="2"/>
      <c r="DF226" s="2"/>
      <c r="DG226" s="3"/>
      <c r="DH226" s="3"/>
      <c r="DI226" s="3"/>
      <c r="DJ226" s="3"/>
      <c r="DK226" s="3"/>
      <c r="DL226" s="3"/>
      <c r="DM226" s="3"/>
      <c r="DN226" s="3"/>
      <c r="DO226" s="3"/>
      <c r="DP226" s="3"/>
      <c r="DQ226" s="3"/>
      <c r="DR226" s="3"/>
      <c r="DS226" s="3"/>
      <c r="DT226" s="3"/>
      <c r="DU226" s="3"/>
      <c r="DV226" s="3"/>
      <c r="DW226" s="3"/>
      <c r="DX226" s="3"/>
      <c r="DY226" s="3"/>
      <c r="DZ226" s="3"/>
      <c r="EA226" s="3"/>
      <c r="EB226" s="3"/>
      <c r="EC226" s="3"/>
      <c r="ED226" s="3"/>
      <c r="EE226" s="3"/>
      <c r="EF226" s="3"/>
      <c r="EG226" s="3"/>
      <c r="EH226" s="3"/>
      <c r="EI226" s="3"/>
      <c r="EJ226" s="3"/>
      <c r="EK226" s="3"/>
      <c r="EL226" s="3"/>
      <c r="EM226" s="3"/>
      <c r="EN226" s="3"/>
      <c r="EO226" s="3"/>
      <c r="EP226" s="3"/>
      <c r="EQ226" s="3"/>
      <c r="ER226" s="3"/>
      <c r="ES226" s="3"/>
      <c r="ET226" s="3"/>
      <c r="EU226" s="3"/>
      <c r="EV226" s="3"/>
      <c r="EW226" s="3"/>
      <c r="EX226" s="3"/>
      <c r="EY226" s="3"/>
      <c r="EZ226" s="3"/>
      <c r="FA226" s="3"/>
      <c r="FB226" s="3"/>
      <c r="FC226" s="3"/>
      <c r="FD226" s="3"/>
      <c r="FE226" s="3"/>
      <c r="FF226" s="3"/>
      <c r="FG226" s="3"/>
      <c r="FH226" s="3"/>
      <c r="FI226" s="3"/>
      <c r="FJ226" s="3"/>
      <c r="FK226" s="3"/>
      <c r="FL226" s="3"/>
      <c r="FM226" s="3"/>
      <c r="FN226" s="3"/>
      <c r="FO226" s="3"/>
      <c r="FP226" s="3"/>
      <c r="FQ226" s="3"/>
      <c r="FR226" s="3"/>
      <c r="FS226" s="3"/>
      <c r="FT226" s="3"/>
      <c r="FU226" s="3"/>
      <c r="FV226" s="3"/>
      <c r="FW226" s="3"/>
      <c r="FX226" s="3"/>
      <c r="FY226" s="3"/>
      <c r="FZ226" s="3"/>
      <c r="GA226" s="3"/>
      <c r="GB226" s="3"/>
      <c r="GC226" s="3"/>
      <c r="GD226" s="3"/>
      <c r="GE226" s="3"/>
      <c r="GF226" s="3"/>
      <c r="GG226" s="3"/>
      <c r="GH226" s="3"/>
      <c r="GI226" s="3"/>
      <c r="GJ226" s="3"/>
      <c r="GK226" s="3"/>
      <c r="GL226" s="3"/>
      <c r="GM226" s="3"/>
      <c r="GN226" s="3"/>
      <c r="GO226" s="3"/>
      <c r="GP226" s="3"/>
      <c r="GQ226" s="3"/>
      <c r="GR226" s="3"/>
      <c r="GS226" s="3"/>
      <c r="GT226" s="3"/>
      <c r="GU226" s="3"/>
      <c r="GV226" s="3"/>
      <c r="GW226" s="3"/>
      <c r="GX226" s="3">
        <v>0</v>
      </c>
    </row>
    <row r="228" spans="1:206" x14ac:dyDescent="0.2">
      <c r="A228" s="4">
        <v>50</v>
      </c>
      <c r="B228" s="4">
        <v>0</v>
      </c>
      <c r="C228" s="4">
        <v>0</v>
      </c>
      <c r="D228" s="4">
        <v>1</v>
      </c>
      <c r="E228" s="4">
        <v>201</v>
      </c>
      <c r="F228" s="4">
        <f>ROUND(Source!O226,O228)</f>
        <v>14636.8</v>
      </c>
      <c r="G228" s="4" t="s">
        <v>17</v>
      </c>
      <c r="H228" s="4" t="s">
        <v>18</v>
      </c>
      <c r="I228" s="4"/>
      <c r="J228" s="4"/>
      <c r="K228" s="4">
        <v>201</v>
      </c>
      <c r="L228" s="4">
        <v>1</v>
      </c>
      <c r="M228" s="4">
        <v>3</v>
      </c>
      <c r="N228" s="4" t="s">
        <v>3</v>
      </c>
      <c r="O228" s="4">
        <v>2</v>
      </c>
      <c r="P228" s="4"/>
      <c r="Q228" s="4"/>
      <c r="R228" s="4"/>
      <c r="S228" s="4"/>
      <c r="T228" s="4"/>
      <c r="U228" s="4"/>
      <c r="V228" s="4"/>
      <c r="W228" s="4">
        <v>14636.800000000001</v>
      </c>
      <c r="X228" s="4">
        <v>1</v>
      </c>
      <c r="Y228" s="4">
        <v>14636.800000000001</v>
      </c>
      <c r="Z228" s="4"/>
      <c r="AA228" s="4"/>
      <c r="AB228" s="4"/>
    </row>
    <row r="229" spans="1:206" x14ac:dyDescent="0.2">
      <c r="A229" s="4">
        <v>50</v>
      </c>
      <c r="B229" s="4">
        <v>0</v>
      </c>
      <c r="C229" s="4">
        <v>0</v>
      </c>
      <c r="D229" s="4">
        <v>1</v>
      </c>
      <c r="E229" s="4">
        <v>202</v>
      </c>
      <c r="F229" s="4">
        <f>ROUND(Source!P226,O229)</f>
        <v>0</v>
      </c>
      <c r="G229" s="4" t="s">
        <v>19</v>
      </c>
      <c r="H229" s="4" t="s">
        <v>20</v>
      </c>
      <c r="I229" s="4"/>
      <c r="J229" s="4"/>
      <c r="K229" s="4">
        <v>202</v>
      </c>
      <c r="L229" s="4">
        <v>2</v>
      </c>
      <c r="M229" s="4">
        <v>3</v>
      </c>
      <c r="N229" s="4" t="s">
        <v>3</v>
      </c>
      <c r="O229" s="4">
        <v>2</v>
      </c>
      <c r="P229" s="4"/>
      <c r="Q229" s="4"/>
      <c r="R229" s="4"/>
      <c r="S229" s="4"/>
      <c r="T229" s="4"/>
      <c r="U229" s="4"/>
      <c r="V229" s="4"/>
      <c r="W229" s="4">
        <v>0</v>
      </c>
      <c r="X229" s="4">
        <v>1</v>
      </c>
      <c r="Y229" s="4">
        <v>0</v>
      </c>
      <c r="Z229" s="4"/>
      <c r="AA229" s="4"/>
      <c r="AB229" s="4"/>
    </row>
    <row r="230" spans="1:206" x14ac:dyDescent="0.2">
      <c r="A230" s="4">
        <v>50</v>
      </c>
      <c r="B230" s="4">
        <v>0</v>
      </c>
      <c r="C230" s="4">
        <v>0</v>
      </c>
      <c r="D230" s="4">
        <v>1</v>
      </c>
      <c r="E230" s="4">
        <v>222</v>
      </c>
      <c r="F230" s="4">
        <f>ROUND(Source!AO226,O230)</f>
        <v>0</v>
      </c>
      <c r="G230" s="4" t="s">
        <v>21</v>
      </c>
      <c r="H230" s="4" t="s">
        <v>22</v>
      </c>
      <c r="I230" s="4"/>
      <c r="J230" s="4"/>
      <c r="K230" s="4">
        <v>222</v>
      </c>
      <c r="L230" s="4">
        <v>3</v>
      </c>
      <c r="M230" s="4">
        <v>3</v>
      </c>
      <c r="N230" s="4" t="s">
        <v>3</v>
      </c>
      <c r="O230" s="4">
        <v>2</v>
      </c>
      <c r="P230" s="4"/>
      <c r="Q230" s="4"/>
      <c r="R230" s="4"/>
      <c r="S230" s="4"/>
      <c r="T230" s="4"/>
      <c r="U230" s="4"/>
      <c r="V230" s="4"/>
      <c r="W230" s="4">
        <v>0</v>
      </c>
      <c r="X230" s="4">
        <v>1</v>
      </c>
      <c r="Y230" s="4">
        <v>0</v>
      </c>
      <c r="Z230" s="4"/>
      <c r="AA230" s="4"/>
      <c r="AB230" s="4"/>
    </row>
    <row r="231" spans="1:206" x14ac:dyDescent="0.2">
      <c r="A231" s="4">
        <v>50</v>
      </c>
      <c r="B231" s="4">
        <v>0</v>
      </c>
      <c r="C231" s="4">
        <v>0</v>
      </c>
      <c r="D231" s="4">
        <v>1</v>
      </c>
      <c r="E231" s="4">
        <v>225</v>
      </c>
      <c r="F231" s="4">
        <f>ROUND(Source!AV226,O231)</f>
        <v>0</v>
      </c>
      <c r="G231" s="4" t="s">
        <v>23</v>
      </c>
      <c r="H231" s="4" t="s">
        <v>24</v>
      </c>
      <c r="I231" s="4"/>
      <c r="J231" s="4"/>
      <c r="K231" s="4">
        <v>225</v>
      </c>
      <c r="L231" s="4">
        <v>4</v>
      </c>
      <c r="M231" s="4">
        <v>3</v>
      </c>
      <c r="N231" s="4" t="s">
        <v>3</v>
      </c>
      <c r="O231" s="4">
        <v>2</v>
      </c>
      <c r="P231" s="4"/>
      <c r="Q231" s="4"/>
      <c r="R231" s="4"/>
      <c r="S231" s="4"/>
      <c r="T231" s="4"/>
      <c r="U231" s="4"/>
      <c r="V231" s="4"/>
      <c r="W231" s="4">
        <v>0</v>
      </c>
      <c r="X231" s="4">
        <v>1</v>
      </c>
      <c r="Y231" s="4">
        <v>0</v>
      </c>
      <c r="Z231" s="4"/>
      <c r="AA231" s="4"/>
      <c r="AB231" s="4"/>
    </row>
    <row r="232" spans="1:206" x14ac:dyDescent="0.2">
      <c r="A232" s="4">
        <v>50</v>
      </c>
      <c r="B232" s="4">
        <v>0</v>
      </c>
      <c r="C232" s="4">
        <v>0</v>
      </c>
      <c r="D232" s="4">
        <v>1</v>
      </c>
      <c r="E232" s="4">
        <v>226</v>
      </c>
      <c r="F232" s="4">
        <f>ROUND(Source!AW226,O232)</f>
        <v>0</v>
      </c>
      <c r="G232" s="4" t="s">
        <v>25</v>
      </c>
      <c r="H232" s="4" t="s">
        <v>26</v>
      </c>
      <c r="I232" s="4"/>
      <c r="J232" s="4"/>
      <c r="K232" s="4">
        <v>226</v>
      </c>
      <c r="L232" s="4">
        <v>5</v>
      </c>
      <c r="M232" s="4">
        <v>3</v>
      </c>
      <c r="N232" s="4" t="s">
        <v>3</v>
      </c>
      <c r="O232" s="4">
        <v>2</v>
      </c>
      <c r="P232" s="4"/>
      <c r="Q232" s="4"/>
      <c r="R232" s="4"/>
      <c r="S232" s="4"/>
      <c r="T232" s="4"/>
      <c r="U232" s="4"/>
      <c r="V232" s="4"/>
      <c r="W232" s="4">
        <v>0</v>
      </c>
      <c r="X232" s="4">
        <v>1</v>
      </c>
      <c r="Y232" s="4">
        <v>0</v>
      </c>
      <c r="Z232" s="4"/>
      <c r="AA232" s="4"/>
      <c r="AB232" s="4"/>
    </row>
    <row r="233" spans="1:206" x14ac:dyDescent="0.2">
      <c r="A233" s="4">
        <v>50</v>
      </c>
      <c r="B233" s="4">
        <v>0</v>
      </c>
      <c r="C233" s="4">
        <v>0</v>
      </c>
      <c r="D233" s="4">
        <v>1</v>
      </c>
      <c r="E233" s="4">
        <v>227</v>
      </c>
      <c r="F233" s="4">
        <f>ROUND(Source!AX226,O233)</f>
        <v>0</v>
      </c>
      <c r="G233" s="4" t="s">
        <v>27</v>
      </c>
      <c r="H233" s="4" t="s">
        <v>28</v>
      </c>
      <c r="I233" s="4"/>
      <c r="J233" s="4"/>
      <c r="K233" s="4">
        <v>227</v>
      </c>
      <c r="L233" s="4">
        <v>6</v>
      </c>
      <c r="M233" s="4">
        <v>3</v>
      </c>
      <c r="N233" s="4" t="s">
        <v>3</v>
      </c>
      <c r="O233" s="4">
        <v>2</v>
      </c>
      <c r="P233" s="4"/>
      <c r="Q233" s="4"/>
      <c r="R233" s="4"/>
      <c r="S233" s="4"/>
      <c r="T233" s="4"/>
      <c r="U233" s="4"/>
      <c r="V233" s="4"/>
      <c r="W233" s="4">
        <v>0</v>
      </c>
      <c r="X233" s="4">
        <v>1</v>
      </c>
      <c r="Y233" s="4">
        <v>0</v>
      </c>
      <c r="Z233" s="4"/>
      <c r="AA233" s="4"/>
      <c r="AB233" s="4"/>
    </row>
    <row r="234" spans="1:206" x14ac:dyDescent="0.2">
      <c r="A234" s="4">
        <v>50</v>
      </c>
      <c r="B234" s="4">
        <v>0</v>
      </c>
      <c r="C234" s="4">
        <v>0</v>
      </c>
      <c r="D234" s="4">
        <v>1</v>
      </c>
      <c r="E234" s="4">
        <v>228</v>
      </c>
      <c r="F234" s="4">
        <f>ROUND(Source!AY226,O234)</f>
        <v>0</v>
      </c>
      <c r="G234" s="4" t="s">
        <v>29</v>
      </c>
      <c r="H234" s="4" t="s">
        <v>30</v>
      </c>
      <c r="I234" s="4"/>
      <c r="J234" s="4"/>
      <c r="K234" s="4">
        <v>228</v>
      </c>
      <c r="L234" s="4">
        <v>7</v>
      </c>
      <c r="M234" s="4">
        <v>3</v>
      </c>
      <c r="N234" s="4" t="s">
        <v>3</v>
      </c>
      <c r="O234" s="4">
        <v>2</v>
      </c>
      <c r="P234" s="4"/>
      <c r="Q234" s="4"/>
      <c r="R234" s="4"/>
      <c r="S234" s="4"/>
      <c r="T234" s="4"/>
      <c r="U234" s="4"/>
      <c r="V234" s="4"/>
      <c r="W234" s="4">
        <v>0</v>
      </c>
      <c r="X234" s="4">
        <v>1</v>
      </c>
      <c r="Y234" s="4">
        <v>0</v>
      </c>
      <c r="Z234" s="4"/>
      <c r="AA234" s="4"/>
      <c r="AB234" s="4"/>
    </row>
    <row r="235" spans="1:206" x14ac:dyDescent="0.2">
      <c r="A235" s="4">
        <v>50</v>
      </c>
      <c r="B235" s="4">
        <v>0</v>
      </c>
      <c r="C235" s="4">
        <v>0</v>
      </c>
      <c r="D235" s="4">
        <v>1</v>
      </c>
      <c r="E235" s="4">
        <v>216</v>
      </c>
      <c r="F235" s="4">
        <f>ROUND(Source!AP226,O235)</f>
        <v>0</v>
      </c>
      <c r="G235" s="4" t="s">
        <v>31</v>
      </c>
      <c r="H235" s="4" t="s">
        <v>32</v>
      </c>
      <c r="I235" s="4"/>
      <c r="J235" s="4"/>
      <c r="K235" s="4">
        <v>216</v>
      </c>
      <c r="L235" s="4">
        <v>8</v>
      </c>
      <c r="M235" s="4">
        <v>3</v>
      </c>
      <c r="N235" s="4" t="s">
        <v>3</v>
      </c>
      <c r="O235" s="4">
        <v>2</v>
      </c>
      <c r="P235" s="4"/>
      <c r="Q235" s="4"/>
      <c r="R235" s="4"/>
      <c r="S235" s="4"/>
      <c r="T235" s="4"/>
      <c r="U235" s="4"/>
      <c r="V235" s="4"/>
      <c r="W235" s="4">
        <v>0</v>
      </c>
      <c r="X235" s="4">
        <v>1</v>
      </c>
      <c r="Y235" s="4">
        <v>0</v>
      </c>
      <c r="Z235" s="4"/>
      <c r="AA235" s="4"/>
      <c r="AB235" s="4"/>
    </row>
    <row r="236" spans="1:206" x14ac:dyDescent="0.2">
      <c r="A236" s="4">
        <v>50</v>
      </c>
      <c r="B236" s="4">
        <v>0</v>
      </c>
      <c r="C236" s="4">
        <v>0</v>
      </c>
      <c r="D236" s="4">
        <v>1</v>
      </c>
      <c r="E236" s="4">
        <v>223</v>
      </c>
      <c r="F236" s="4">
        <f>ROUND(Source!AQ226,O236)</f>
        <v>0</v>
      </c>
      <c r="G236" s="4" t="s">
        <v>33</v>
      </c>
      <c r="H236" s="4" t="s">
        <v>34</v>
      </c>
      <c r="I236" s="4"/>
      <c r="J236" s="4"/>
      <c r="K236" s="4">
        <v>223</v>
      </c>
      <c r="L236" s="4">
        <v>9</v>
      </c>
      <c r="M236" s="4">
        <v>3</v>
      </c>
      <c r="N236" s="4" t="s">
        <v>3</v>
      </c>
      <c r="O236" s="4">
        <v>2</v>
      </c>
      <c r="P236" s="4"/>
      <c r="Q236" s="4"/>
      <c r="R236" s="4"/>
      <c r="S236" s="4"/>
      <c r="T236" s="4"/>
      <c r="U236" s="4"/>
      <c r="V236" s="4"/>
      <c r="W236" s="4">
        <v>0</v>
      </c>
      <c r="X236" s="4">
        <v>1</v>
      </c>
      <c r="Y236" s="4">
        <v>0</v>
      </c>
      <c r="Z236" s="4"/>
      <c r="AA236" s="4"/>
      <c r="AB236" s="4"/>
    </row>
    <row r="237" spans="1:206" x14ac:dyDescent="0.2">
      <c r="A237" s="4">
        <v>50</v>
      </c>
      <c r="B237" s="4">
        <v>0</v>
      </c>
      <c r="C237" s="4">
        <v>0</v>
      </c>
      <c r="D237" s="4">
        <v>1</v>
      </c>
      <c r="E237" s="4">
        <v>229</v>
      </c>
      <c r="F237" s="4">
        <f>ROUND(Source!AZ226,O237)</f>
        <v>0</v>
      </c>
      <c r="G237" s="4" t="s">
        <v>35</v>
      </c>
      <c r="H237" s="4" t="s">
        <v>36</v>
      </c>
      <c r="I237" s="4"/>
      <c r="J237" s="4"/>
      <c r="K237" s="4">
        <v>229</v>
      </c>
      <c r="L237" s="4">
        <v>10</v>
      </c>
      <c r="M237" s="4">
        <v>3</v>
      </c>
      <c r="N237" s="4" t="s">
        <v>3</v>
      </c>
      <c r="O237" s="4">
        <v>2</v>
      </c>
      <c r="P237" s="4"/>
      <c r="Q237" s="4"/>
      <c r="R237" s="4"/>
      <c r="S237" s="4"/>
      <c r="T237" s="4"/>
      <c r="U237" s="4"/>
      <c r="V237" s="4"/>
      <c r="W237" s="4">
        <v>0</v>
      </c>
      <c r="X237" s="4">
        <v>1</v>
      </c>
      <c r="Y237" s="4">
        <v>0</v>
      </c>
      <c r="Z237" s="4"/>
      <c r="AA237" s="4"/>
      <c r="AB237" s="4"/>
    </row>
    <row r="238" spans="1:206" x14ac:dyDescent="0.2">
      <c r="A238" s="4">
        <v>50</v>
      </c>
      <c r="B238" s="4">
        <v>0</v>
      </c>
      <c r="C238" s="4">
        <v>0</v>
      </c>
      <c r="D238" s="4">
        <v>1</v>
      </c>
      <c r="E238" s="4">
        <v>203</v>
      </c>
      <c r="F238" s="4">
        <f>ROUND(Source!Q226,O238)</f>
        <v>0</v>
      </c>
      <c r="G238" s="4" t="s">
        <v>37</v>
      </c>
      <c r="H238" s="4" t="s">
        <v>38</v>
      </c>
      <c r="I238" s="4"/>
      <c r="J238" s="4"/>
      <c r="K238" s="4">
        <v>203</v>
      </c>
      <c r="L238" s="4">
        <v>11</v>
      </c>
      <c r="M238" s="4">
        <v>3</v>
      </c>
      <c r="N238" s="4" t="s">
        <v>3</v>
      </c>
      <c r="O238" s="4">
        <v>2</v>
      </c>
      <c r="P238" s="4"/>
      <c r="Q238" s="4"/>
      <c r="R238" s="4"/>
      <c r="S238" s="4"/>
      <c r="T238" s="4"/>
      <c r="U238" s="4"/>
      <c r="V238" s="4"/>
      <c r="W238" s="4">
        <v>0</v>
      </c>
      <c r="X238" s="4">
        <v>1</v>
      </c>
      <c r="Y238" s="4">
        <v>0</v>
      </c>
      <c r="Z238" s="4"/>
      <c r="AA238" s="4"/>
      <c r="AB238" s="4"/>
    </row>
    <row r="239" spans="1:206" x14ac:dyDescent="0.2">
      <c r="A239" s="4">
        <v>50</v>
      </c>
      <c r="B239" s="4">
        <v>0</v>
      </c>
      <c r="C239" s="4">
        <v>0</v>
      </c>
      <c r="D239" s="4">
        <v>1</v>
      </c>
      <c r="E239" s="4">
        <v>231</v>
      </c>
      <c r="F239" s="4">
        <f>ROUND(Source!BB226,O239)</f>
        <v>0</v>
      </c>
      <c r="G239" s="4" t="s">
        <v>39</v>
      </c>
      <c r="H239" s="4" t="s">
        <v>40</v>
      </c>
      <c r="I239" s="4"/>
      <c r="J239" s="4"/>
      <c r="K239" s="4">
        <v>231</v>
      </c>
      <c r="L239" s="4">
        <v>12</v>
      </c>
      <c r="M239" s="4">
        <v>3</v>
      </c>
      <c r="N239" s="4" t="s">
        <v>3</v>
      </c>
      <c r="O239" s="4">
        <v>2</v>
      </c>
      <c r="P239" s="4"/>
      <c r="Q239" s="4"/>
      <c r="R239" s="4"/>
      <c r="S239" s="4"/>
      <c r="T239" s="4"/>
      <c r="U239" s="4"/>
      <c r="V239" s="4"/>
      <c r="W239" s="4">
        <v>0</v>
      </c>
      <c r="X239" s="4">
        <v>1</v>
      </c>
      <c r="Y239" s="4">
        <v>0</v>
      </c>
      <c r="Z239" s="4"/>
      <c r="AA239" s="4"/>
      <c r="AB239" s="4"/>
    </row>
    <row r="240" spans="1:206" x14ac:dyDescent="0.2">
      <c r="A240" s="4">
        <v>50</v>
      </c>
      <c r="B240" s="4">
        <v>0</v>
      </c>
      <c r="C240" s="4">
        <v>0</v>
      </c>
      <c r="D240" s="4">
        <v>1</v>
      </c>
      <c r="E240" s="4">
        <v>204</v>
      </c>
      <c r="F240" s="4">
        <f>ROUND(Source!R226,O240)</f>
        <v>0</v>
      </c>
      <c r="G240" s="4" t="s">
        <v>41</v>
      </c>
      <c r="H240" s="4" t="s">
        <v>42</v>
      </c>
      <c r="I240" s="4"/>
      <c r="J240" s="4"/>
      <c r="K240" s="4">
        <v>204</v>
      </c>
      <c r="L240" s="4">
        <v>13</v>
      </c>
      <c r="M240" s="4">
        <v>3</v>
      </c>
      <c r="N240" s="4" t="s">
        <v>3</v>
      </c>
      <c r="O240" s="4">
        <v>2</v>
      </c>
      <c r="P240" s="4"/>
      <c r="Q240" s="4"/>
      <c r="R240" s="4"/>
      <c r="S240" s="4"/>
      <c r="T240" s="4"/>
      <c r="U240" s="4"/>
      <c r="V240" s="4"/>
      <c r="W240" s="4">
        <v>0</v>
      </c>
      <c r="X240" s="4">
        <v>1</v>
      </c>
      <c r="Y240" s="4">
        <v>0</v>
      </c>
      <c r="Z240" s="4"/>
      <c r="AA240" s="4"/>
      <c r="AB240" s="4"/>
    </row>
    <row r="241" spans="1:206" x14ac:dyDescent="0.2">
      <c r="A241" s="4">
        <v>50</v>
      </c>
      <c r="B241" s="4">
        <v>0</v>
      </c>
      <c r="C241" s="4">
        <v>0</v>
      </c>
      <c r="D241" s="4">
        <v>1</v>
      </c>
      <c r="E241" s="4">
        <v>205</v>
      </c>
      <c r="F241" s="4">
        <f>ROUND(Source!S226,O241)</f>
        <v>14636.8</v>
      </c>
      <c r="G241" s="4" t="s">
        <v>43</v>
      </c>
      <c r="H241" s="4" t="s">
        <v>44</v>
      </c>
      <c r="I241" s="4"/>
      <c r="J241" s="4"/>
      <c r="K241" s="4">
        <v>205</v>
      </c>
      <c r="L241" s="4">
        <v>14</v>
      </c>
      <c r="M241" s="4">
        <v>3</v>
      </c>
      <c r="N241" s="4" t="s">
        <v>3</v>
      </c>
      <c r="O241" s="4">
        <v>2</v>
      </c>
      <c r="P241" s="4"/>
      <c r="Q241" s="4"/>
      <c r="R241" s="4"/>
      <c r="S241" s="4"/>
      <c r="T241" s="4"/>
      <c r="U241" s="4"/>
      <c r="V241" s="4"/>
      <c r="W241" s="4">
        <v>14636.800000000001</v>
      </c>
      <c r="X241" s="4">
        <v>1</v>
      </c>
      <c r="Y241" s="4">
        <v>14636.800000000001</v>
      </c>
      <c r="Z241" s="4"/>
      <c r="AA241" s="4"/>
      <c r="AB241" s="4"/>
    </row>
    <row r="242" spans="1:206" x14ac:dyDescent="0.2">
      <c r="A242" s="4">
        <v>50</v>
      </c>
      <c r="B242" s="4">
        <v>0</v>
      </c>
      <c r="C242" s="4">
        <v>0</v>
      </c>
      <c r="D242" s="4">
        <v>1</v>
      </c>
      <c r="E242" s="4">
        <v>232</v>
      </c>
      <c r="F242" s="4">
        <f>ROUND(Source!BC226,O242)</f>
        <v>0</v>
      </c>
      <c r="G242" s="4" t="s">
        <v>45</v>
      </c>
      <c r="H242" s="4" t="s">
        <v>46</v>
      </c>
      <c r="I242" s="4"/>
      <c r="J242" s="4"/>
      <c r="K242" s="4">
        <v>232</v>
      </c>
      <c r="L242" s="4">
        <v>15</v>
      </c>
      <c r="M242" s="4">
        <v>3</v>
      </c>
      <c r="N242" s="4" t="s">
        <v>3</v>
      </c>
      <c r="O242" s="4">
        <v>2</v>
      </c>
      <c r="P242" s="4"/>
      <c r="Q242" s="4"/>
      <c r="R242" s="4"/>
      <c r="S242" s="4"/>
      <c r="T242" s="4"/>
      <c r="U242" s="4"/>
      <c r="V242" s="4"/>
      <c r="W242" s="4">
        <v>0</v>
      </c>
      <c r="X242" s="4">
        <v>1</v>
      </c>
      <c r="Y242" s="4">
        <v>0</v>
      </c>
      <c r="Z242" s="4"/>
      <c r="AA242" s="4"/>
      <c r="AB242" s="4"/>
    </row>
    <row r="243" spans="1:206" x14ac:dyDescent="0.2">
      <c r="A243" s="4">
        <v>50</v>
      </c>
      <c r="B243" s="4">
        <v>0</v>
      </c>
      <c r="C243" s="4">
        <v>0</v>
      </c>
      <c r="D243" s="4">
        <v>1</v>
      </c>
      <c r="E243" s="4">
        <v>214</v>
      </c>
      <c r="F243" s="4">
        <f>ROUND(Source!AS226,O243)</f>
        <v>0</v>
      </c>
      <c r="G243" s="4" t="s">
        <v>47</v>
      </c>
      <c r="H243" s="4" t="s">
        <v>48</v>
      </c>
      <c r="I243" s="4"/>
      <c r="J243" s="4"/>
      <c r="K243" s="4">
        <v>214</v>
      </c>
      <c r="L243" s="4">
        <v>16</v>
      </c>
      <c r="M243" s="4">
        <v>3</v>
      </c>
      <c r="N243" s="4" t="s">
        <v>3</v>
      </c>
      <c r="O243" s="4">
        <v>2</v>
      </c>
      <c r="P243" s="4"/>
      <c r="Q243" s="4"/>
      <c r="R243" s="4"/>
      <c r="S243" s="4"/>
      <c r="T243" s="4"/>
      <c r="U243" s="4"/>
      <c r="V243" s="4"/>
      <c r="W243" s="4">
        <v>0</v>
      </c>
      <c r="X243" s="4">
        <v>1</v>
      </c>
      <c r="Y243" s="4">
        <v>0</v>
      </c>
      <c r="Z243" s="4"/>
      <c r="AA243" s="4"/>
      <c r="AB243" s="4"/>
    </row>
    <row r="244" spans="1:206" x14ac:dyDescent="0.2">
      <c r="A244" s="4">
        <v>50</v>
      </c>
      <c r="B244" s="4">
        <v>0</v>
      </c>
      <c r="C244" s="4">
        <v>0</v>
      </c>
      <c r="D244" s="4">
        <v>1</v>
      </c>
      <c r="E244" s="4">
        <v>215</v>
      </c>
      <c r="F244" s="4">
        <f>ROUND(Source!AT226,O244)</f>
        <v>0</v>
      </c>
      <c r="G244" s="4" t="s">
        <v>49</v>
      </c>
      <c r="H244" s="4" t="s">
        <v>50</v>
      </c>
      <c r="I244" s="4"/>
      <c r="J244" s="4"/>
      <c r="K244" s="4">
        <v>215</v>
      </c>
      <c r="L244" s="4">
        <v>17</v>
      </c>
      <c r="M244" s="4">
        <v>3</v>
      </c>
      <c r="N244" s="4" t="s">
        <v>3</v>
      </c>
      <c r="O244" s="4">
        <v>2</v>
      </c>
      <c r="P244" s="4"/>
      <c r="Q244" s="4"/>
      <c r="R244" s="4"/>
      <c r="S244" s="4"/>
      <c r="T244" s="4"/>
      <c r="U244" s="4"/>
      <c r="V244" s="4"/>
      <c r="W244" s="4">
        <v>0</v>
      </c>
      <c r="X244" s="4">
        <v>1</v>
      </c>
      <c r="Y244" s="4">
        <v>0</v>
      </c>
      <c r="Z244" s="4"/>
      <c r="AA244" s="4"/>
      <c r="AB244" s="4"/>
    </row>
    <row r="245" spans="1:206" x14ac:dyDescent="0.2">
      <c r="A245" s="4">
        <v>50</v>
      </c>
      <c r="B245" s="4">
        <v>0</v>
      </c>
      <c r="C245" s="4">
        <v>0</v>
      </c>
      <c r="D245" s="4">
        <v>1</v>
      </c>
      <c r="E245" s="4">
        <v>217</v>
      </c>
      <c r="F245" s="4">
        <f>ROUND(Source!AU226,O245)</f>
        <v>30737.279999999999</v>
      </c>
      <c r="G245" s="4" t="s">
        <v>51</v>
      </c>
      <c r="H245" s="4" t="s">
        <v>52</v>
      </c>
      <c r="I245" s="4"/>
      <c r="J245" s="4"/>
      <c r="K245" s="4">
        <v>217</v>
      </c>
      <c r="L245" s="4">
        <v>18</v>
      </c>
      <c r="M245" s="4">
        <v>3</v>
      </c>
      <c r="N245" s="4" t="s">
        <v>3</v>
      </c>
      <c r="O245" s="4">
        <v>2</v>
      </c>
      <c r="P245" s="4"/>
      <c r="Q245" s="4"/>
      <c r="R245" s="4"/>
      <c r="S245" s="4"/>
      <c r="T245" s="4"/>
      <c r="U245" s="4"/>
      <c r="V245" s="4"/>
      <c r="W245" s="4">
        <v>30737.279999999999</v>
      </c>
      <c r="X245" s="4">
        <v>1</v>
      </c>
      <c r="Y245" s="4">
        <v>30737.279999999999</v>
      </c>
      <c r="Z245" s="4"/>
      <c r="AA245" s="4"/>
      <c r="AB245" s="4"/>
    </row>
    <row r="246" spans="1:206" x14ac:dyDescent="0.2">
      <c r="A246" s="4">
        <v>50</v>
      </c>
      <c r="B246" s="4">
        <v>0</v>
      </c>
      <c r="C246" s="4">
        <v>0</v>
      </c>
      <c r="D246" s="4">
        <v>1</v>
      </c>
      <c r="E246" s="4">
        <v>230</v>
      </c>
      <c r="F246" s="4">
        <f>ROUND(Source!BA226,O246)</f>
        <v>0</v>
      </c>
      <c r="G246" s="4" t="s">
        <v>53</v>
      </c>
      <c r="H246" s="4" t="s">
        <v>54</v>
      </c>
      <c r="I246" s="4"/>
      <c r="J246" s="4"/>
      <c r="K246" s="4">
        <v>230</v>
      </c>
      <c r="L246" s="4">
        <v>19</v>
      </c>
      <c r="M246" s="4">
        <v>3</v>
      </c>
      <c r="N246" s="4" t="s">
        <v>3</v>
      </c>
      <c r="O246" s="4">
        <v>2</v>
      </c>
      <c r="P246" s="4"/>
      <c r="Q246" s="4"/>
      <c r="R246" s="4"/>
      <c r="S246" s="4"/>
      <c r="T246" s="4"/>
      <c r="U246" s="4"/>
      <c r="V246" s="4"/>
      <c r="W246" s="4">
        <v>0</v>
      </c>
      <c r="X246" s="4">
        <v>1</v>
      </c>
      <c r="Y246" s="4">
        <v>0</v>
      </c>
      <c r="Z246" s="4"/>
      <c r="AA246" s="4"/>
      <c r="AB246" s="4"/>
    </row>
    <row r="247" spans="1:206" x14ac:dyDescent="0.2">
      <c r="A247" s="4">
        <v>50</v>
      </c>
      <c r="B247" s="4">
        <v>0</v>
      </c>
      <c r="C247" s="4">
        <v>0</v>
      </c>
      <c r="D247" s="4">
        <v>1</v>
      </c>
      <c r="E247" s="4">
        <v>206</v>
      </c>
      <c r="F247" s="4">
        <f>ROUND(Source!T226,O247)</f>
        <v>0</v>
      </c>
      <c r="G247" s="4" t="s">
        <v>55</v>
      </c>
      <c r="H247" s="4" t="s">
        <v>56</v>
      </c>
      <c r="I247" s="4"/>
      <c r="J247" s="4"/>
      <c r="K247" s="4">
        <v>206</v>
      </c>
      <c r="L247" s="4">
        <v>20</v>
      </c>
      <c r="M247" s="4">
        <v>3</v>
      </c>
      <c r="N247" s="4" t="s">
        <v>3</v>
      </c>
      <c r="O247" s="4">
        <v>2</v>
      </c>
      <c r="P247" s="4"/>
      <c r="Q247" s="4"/>
      <c r="R247" s="4"/>
      <c r="S247" s="4"/>
      <c r="T247" s="4"/>
      <c r="U247" s="4"/>
      <c r="V247" s="4"/>
      <c r="W247" s="4">
        <v>0</v>
      </c>
      <c r="X247" s="4">
        <v>1</v>
      </c>
      <c r="Y247" s="4">
        <v>0</v>
      </c>
      <c r="Z247" s="4"/>
      <c r="AA247" s="4"/>
      <c r="AB247" s="4"/>
    </row>
    <row r="248" spans="1:206" x14ac:dyDescent="0.2">
      <c r="A248" s="4">
        <v>50</v>
      </c>
      <c r="B248" s="4">
        <v>0</v>
      </c>
      <c r="C248" s="4">
        <v>0</v>
      </c>
      <c r="D248" s="4">
        <v>1</v>
      </c>
      <c r="E248" s="4">
        <v>207</v>
      </c>
      <c r="F248" s="4">
        <f>ROUND(Source!U226,O248)</f>
        <v>23.738</v>
      </c>
      <c r="G248" s="4" t="s">
        <v>57</v>
      </c>
      <c r="H248" s="4" t="s">
        <v>58</v>
      </c>
      <c r="I248" s="4"/>
      <c r="J248" s="4"/>
      <c r="K248" s="4">
        <v>207</v>
      </c>
      <c r="L248" s="4">
        <v>21</v>
      </c>
      <c r="M248" s="4">
        <v>3</v>
      </c>
      <c r="N248" s="4" t="s">
        <v>3</v>
      </c>
      <c r="O248" s="4">
        <v>7</v>
      </c>
      <c r="P248" s="4"/>
      <c r="Q248" s="4"/>
      <c r="R248" s="4"/>
      <c r="S248" s="4"/>
      <c r="T248" s="4"/>
      <c r="U248" s="4"/>
      <c r="V248" s="4"/>
      <c r="W248" s="4">
        <v>23.738</v>
      </c>
      <c r="X248" s="4">
        <v>1</v>
      </c>
      <c r="Y248" s="4">
        <v>23.738</v>
      </c>
      <c r="Z248" s="4"/>
      <c r="AA248" s="4"/>
      <c r="AB248" s="4"/>
    </row>
    <row r="249" spans="1:206" x14ac:dyDescent="0.2">
      <c r="A249" s="4">
        <v>50</v>
      </c>
      <c r="B249" s="4">
        <v>0</v>
      </c>
      <c r="C249" s="4">
        <v>0</v>
      </c>
      <c r="D249" s="4">
        <v>1</v>
      </c>
      <c r="E249" s="4">
        <v>208</v>
      </c>
      <c r="F249" s="4">
        <f>ROUND(Source!V226,O249)</f>
        <v>0</v>
      </c>
      <c r="G249" s="4" t="s">
        <v>59</v>
      </c>
      <c r="H249" s="4" t="s">
        <v>60</v>
      </c>
      <c r="I249" s="4"/>
      <c r="J249" s="4"/>
      <c r="K249" s="4">
        <v>208</v>
      </c>
      <c r="L249" s="4">
        <v>22</v>
      </c>
      <c r="M249" s="4">
        <v>3</v>
      </c>
      <c r="N249" s="4" t="s">
        <v>3</v>
      </c>
      <c r="O249" s="4">
        <v>7</v>
      </c>
      <c r="P249" s="4"/>
      <c r="Q249" s="4"/>
      <c r="R249" s="4"/>
      <c r="S249" s="4"/>
      <c r="T249" s="4"/>
      <c r="U249" s="4"/>
      <c r="V249" s="4"/>
      <c r="W249" s="4">
        <v>0</v>
      </c>
      <c r="X249" s="4">
        <v>1</v>
      </c>
      <c r="Y249" s="4">
        <v>0</v>
      </c>
      <c r="Z249" s="4"/>
      <c r="AA249" s="4"/>
      <c r="AB249" s="4"/>
    </row>
    <row r="250" spans="1:206" x14ac:dyDescent="0.2">
      <c r="A250" s="4">
        <v>50</v>
      </c>
      <c r="B250" s="4">
        <v>0</v>
      </c>
      <c r="C250" s="4">
        <v>0</v>
      </c>
      <c r="D250" s="4">
        <v>1</v>
      </c>
      <c r="E250" s="4">
        <v>209</v>
      </c>
      <c r="F250" s="4">
        <f>ROUND(Source!W226,O250)</f>
        <v>0</v>
      </c>
      <c r="G250" s="4" t="s">
        <v>61</v>
      </c>
      <c r="H250" s="4" t="s">
        <v>62</v>
      </c>
      <c r="I250" s="4"/>
      <c r="J250" s="4"/>
      <c r="K250" s="4">
        <v>209</v>
      </c>
      <c r="L250" s="4">
        <v>23</v>
      </c>
      <c r="M250" s="4">
        <v>3</v>
      </c>
      <c r="N250" s="4" t="s">
        <v>3</v>
      </c>
      <c r="O250" s="4">
        <v>2</v>
      </c>
      <c r="P250" s="4"/>
      <c r="Q250" s="4"/>
      <c r="R250" s="4"/>
      <c r="S250" s="4"/>
      <c r="T250" s="4"/>
      <c r="U250" s="4"/>
      <c r="V250" s="4"/>
      <c r="W250" s="4">
        <v>0</v>
      </c>
      <c r="X250" s="4">
        <v>1</v>
      </c>
      <c r="Y250" s="4">
        <v>0</v>
      </c>
      <c r="Z250" s="4"/>
      <c r="AA250" s="4"/>
      <c r="AB250" s="4"/>
    </row>
    <row r="251" spans="1:206" x14ac:dyDescent="0.2">
      <c r="A251" s="4">
        <v>50</v>
      </c>
      <c r="B251" s="4">
        <v>0</v>
      </c>
      <c r="C251" s="4">
        <v>0</v>
      </c>
      <c r="D251" s="4">
        <v>1</v>
      </c>
      <c r="E251" s="4">
        <v>233</v>
      </c>
      <c r="F251" s="4">
        <f>ROUND(Source!BD226,O251)</f>
        <v>0</v>
      </c>
      <c r="G251" s="4" t="s">
        <v>63</v>
      </c>
      <c r="H251" s="4" t="s">
        <v>64</v>
      </c>
      <c r="I251" s="4"/>
      <c r="J251" s="4"/>
      <c r="K251" s="4">
        <v>233</v>
      </c>
      <c r="L251" s="4">
        <v>24</v>
      </c>
      <c r="M251" s="4">
        <v>3</v>
      </c>
      <c r="N251" s="4" t="s">
        <v>3</v>
      </c>
      <c r="O251" s="4">
        <v>2</v>
      </c>
      <c r="P251" s="4"/>
      <c r="Q251" s="4"/>
      <c r="R251" s="4"/>
      <c r="S251" s="4"/>
      <c r="T251" s="4"/>
      <c r="U251" s="4"/>
      <c r="V251" s="4"/>
      <c r="W251" s="4">
        <v>0</v>
      </c>
      <c r="X251" s="4">
        <v>1</v>
      </c>
      <c r="Y251" s="4">
        <v>0</v>
      </c>
      <c r="Z251" s="4"/>
      <c r="AA251" s="4"/>
      <c r="AB251" s="4"/>
    </row>
    <row r="252" spans="1:206" x14ac:dyDescent="0.2">
      <c r="A252" s="4">
        <v>50</v>
      </c>
      <c r="B252" s="4">
        <v>0</v>
      </c>
      <c r="C252" s="4">
        <v>0</v>
      </c>
      <c r="D252" s="4">
        <v>1</v>
      </c>
      <c r="E252" s="4">
        <v>210</v>
      </c>
      <c r="F252" s="4">
        <f>ROUND(Source!X226,O252)</f>
        <v>10831.24</v>
      </c>
      <c r="G252" s="4" t="s">
        <v>65</v>
      </c>
      <c r="H252" s="4" t="s">
        <v>66</v>
      </c>
      <c r="I252" s="4"/>
      <c r="J252" s="4"/>
      <c r="K252" s="4">
        <v>210</v>
      </c>
      <c r="L252" s="4">
        <v>25</v>
      </c>
      <c r="M252" s="4">
        <v>3</v>
      </c>
      <c r="N252" s="4" t="s">
        <v>3</v>
      </c>
      <c r="O252" s="4">
        <v>2</v>
      </c>
      <c r="P252" s="4"/>
      <c r="Q252" s="4"/>
      <c r="R252" s="4"/>
      <c r="S252" s="4"/>
      <c r="T252" s="4"/>
      <c r="U252" s="4"/>
      <c r="V252" s="4"/>
      <c r="W252" s="4">
        <v>10831.24</v>
      </c>
      <c r="X252" s="4">
        <v>1</v>
      </c>
      <c r="Y252" s="4">
        <v>10831.24</v>
      </c>
      <c r="Z252" s="4"/>
      <c r="AA252" s="4"/>
      <c r="AB252" s="4"/>
    </row>
    <row r="253" spans="1:206" x14ac:dyDescent="0.2">
      <c r="A253" s="4">
        <v>50</v>
      </c>
      <c r="B253" s="4">
        <v>0</v>
      </c>
      <c r="C253" s="4">
        <v>0</v>
      </c>
      <c r="D253" s="4">
        <v>1</v>
      </c>
      <c r="E253" s="4">
        <v>211</v>
      </c>
      <c r="F253" s="4">
        <f>ROUND(Source!Y226,O253)</f>
        <v>5269.24</v>
      </c>
      <c r="G253" s="4" t="s">
        <v>67</v>
      </c>
      <c r="H253" s="4" t="s">
        <v>68</v>
      </c>
      <c r="I253" s="4"/>
      <c r="J253" s="4"/>
      <c r="K253" s="4">
        <v>211</v>
      </c>
      <c r="L253" s="4">
        <v>26</v>
      </c>
      <c r="M253" s="4">
        <v>3</v>
      </c>
      <c r="N253" s="4" t="s">
        <v>3</v>
      </c>
      <c r="O253" s="4">
        <v>2</v>
      </c>
      <c r="P253" s="4"/>
      <c r="Q253" s="4"/>
      <c r="R253" s="4"/>
      <c r="S253" s="4"/>
      <c r="T253" s="4"/>
      <c r="U253" s="4"/>
      <c r="V253" s="4"/>
      <c r="W253" s="4">
        <v>5269.24</v>
      </c>
      <c r="X253" s="4">
        <v>1</v>
      </c>
      <c r="Y253" s="4">
        <v>5269.24</v>
      </c>
      <c r="Z253" s="4"/>
      <c r="AA253" s="4"/>
      <c r="AB253" s="4"/>
    </row>
    <row r="254" spans="1:206" x14ac:dyDescent="0.2">
      <c r="A254" s="4">
        <v>50</v>
      </c>
      <c r="B254" s="4">
        <v>0</v>
      </c>
      <c r="C254" s="4">
        <v>0</v>
      </c>
      <c r="D254" s="4">
        <v>1</v>
      </c>
      <c r="E254" s="4">
        <v>224</v>
      </c>
      <c r="F254" s="4">
        <f>ROUND(Source!AR226,O254)</f>
        <v>30737.279999999999</v>
      </c>
      <c r="G254" s="4" t="s">
        <v>69</v>
      </c>
      <c r="H254" s="4" t="s">
        <v>70</v>
      </c>
      <c r="I254" s="4"/>
      <c r="J254" s="4"/>
      <c r="K254" s="4">
        <v>224</v>
      </c>
      <c r="L254" s="4">
        <v>27</v>
      </c>
      <c r="M254" s="4">
        <v>3</v>
      </c>
      <c r="N254" s="4" t="s">
        <v>3</v>
      </c>
      <c r="O254" s="4">
        <v>2</v>
      </c>
      <c r="P254" s="4"/>
      <c r="Q254" s="4"/>
      <c r="R254" s="4"/>
      <c r="S254" s="4"/>
      <c r="T254" s="4"/>
      <c r="U254" s="4"/>
      <c r="V254" s="4"/>
      <c r="W254" s="4">
        <v>30737.279999999999</v>
      </c>
      <c r="X254" s="4">
        <v>1</v>
      </c>
      <c r="Y254" s="4">
        <v>30737.279999999999</v>
      </c>
      <c r="Z254" s="4"/>
      <c r="AA254" s="4"/>
      <c r="AB254" s="4"/>
    </row>
    <row r="256" spans="1:206" x14ac:dyDescent="0.2">
      <c r="A256" s="2">
        <v>51</v>
      </c>
      <c r="B256" s="2">
        <f>B54</f>
        <v>1</v>
      </c>
      <c r="C256" s="2">
        <f>A54</f>
        <v>3</v>
      </c>
      <c r="D256" s="2">
        <f>ROW(A54)</f>
        <v>54</v>
      </c>
      <c r="E256" s="2"/>
      <c r="F256" s="2" t="str">
        <f>IF(F54&lt;&gt;"",F54,"")</f>
        <v>Новая локальная смета</v>
      </c>
      <c r="G256" s="2" t="str">
        <f>IF(G54&lt;&gt;"",G54,"")</f>
        <v>Реконструкция 2КЛ-10кВ ПС-596 до РТП-12 по адресу: г. Москва, поселение Рязановское, мкр. "Родники". Инв. № 43315095</v>
      </c>
      <c r="H256" s="2">
        <v>0</v>
      </c>
      <c r="I256" s="2"/>
      <c r="J256" s="2"/>
      <c r="K256" s="2"/>
      <c r="L256" s="2"/>
      <c r="M256" s="2"/>
      <c r="N256" s="2"/>
      <c r="O256" s="2">
        <f t="shared" ref="O256:T256" si="115">ROUND(O69+O106+O147+O187+O226+AB256,2)</f>
        <v>7307779.3799999999</v>
      </c>
      <c r="P256" s="2">
        <f t="shared" si="115"/>
        <v>5713531.8099999996</v>
      </c>
      <c r="Q256" s="2">
        <f t="shared" si="115"/>
        <v>156985.06</v>
      </c>
      <c r="R256" s="2">
        <f t="shared" si="115"/>
        <v>90692.11</v>
      </c>
      <c r="S256" s="2">
        <f t="shared" si="115"/>
        <v>1346570.4</v>
      </c>
      <c r="T256" s="2">
        <f t="shared" si="115"/>
        <v>0</v>
      </c>
      <c r="U256" s="2">
        <f>U69+U106+U147+U187+U226+AH256</f>
        <v>3215.768</v>
      </c>
      <c r="V256" s="2">
        <f>V69+V106+V147+V187+V226+AI256</f>
        <v>169.30079999999998</v>
      </c>
      <c r="W256" s="2">
        <f>ROUND(W69+W106+W147+W187+W226+AJ256,2)</f>
        <v>0</v>
      </c>
      <c r="X256" s="2">
        <f>ROUND(X69+X106+X147+X187+X226+AK256,2)</f>
        <v>1351270.59</v>
      </c>
      <c r="Y256" s="2">
        <f>ROUND(Y69+Y106+Y147+Y187+Y226+AL256,2)</f>
        <v>708763.25</v>
      </c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>
        <f t="shared" ref="AO256:BD256" si="116">ROUND(AO69+AO106+AO147+AO187+AO226+BX256,2)</f>
        <v>0</v>
      </c>
      <c r="AP256" s="2">
        <f t="shared" si="116"/>
        <v>0</v>
      </c>
      <c r="AQ256" s="2">
        <f t="shared" si="116"/>
        <v>0</v>
      </c>
      <c r="AR256" s="2">
        <f t="shared" si="116"/>
        <v>9367813.2200000007</v>
      </c>
      <c r="AS256" s="2">
        <f t="shared" si="116"/>
        <v>2703224.14</v>
      </c>
      <c r="AT256" s="2">
        <f t="shared" si="116"/>
        <v>6633851.7999999998</v>
      </c>
      <c r="AU256" s="2">
        <f t="shared" si="116"/>
        <v>30737.279999999999</v>
      </c>
      <c r="AV256" s="2">
        <f t="shared" si="116"/>
        <v>5713531.8099999996</v>
      </c>
      <c r="AW256" s="2">
        <f t="shared" si="116"/>
        <v>5713531.8099999996</v>
      </c>
      <c r="AX256" s="2">
        <f t="shared" si="116"/>
        <v>0</v>
      </c>
      <c r="AY256" s="2">
        <f t="shared" si="116"/>
        <v>5713531.8099999996</v>
      </c>
      <c r="AZ256" s="2">
        <f t="shared" si="116"/>
        <v>0</v>
      </c>
      <c r="BA256" s="2">
        <f t="shared" si="116"/>
        <v>0</v>
      </c>
      <c r="BB256" s="2">
        <f t="shared" si="116"/>
        <v>0</v>
      </c>
      <c r="BC256" s="2">
        <f t="shared" si="116"/>
        <v>0</v>
      </c>
      <c r="BD256" s="2">
        <f t="shared" si="116"/>
        <v>0</v>
      </c>
      <c r="BE256" s="2"/>
      <c r="BF256" s="2"/>
      <c r="BG256" s="2"/>
      <c r="BH256" s="2"/>
      <c r="BI256" s="2"/>
      <c r="BJ256" s="2"/>
      <c r="BK256" s="2"/>
      <c r="BL256" s="2"/>
      <c r="BM256" s="2"/>
      <c r="BN256" s="2"/>
      <c r="BO256" s="2"/>
      <c r="BP256" s="2"/>
      <c r="BQ256" s="2"/>
      <c r="BR256" s="2"/>
      <c r="BS256" s="2"/>
      <c r="BT256" s="2"/>
      <c r="BU256" s="2"/>
      <c r="BV256" s="2"/>
      <c r="BW256" s="2"/>
      <c r="BX256" s="2"/>
      <c r="BY256" s="2"/>
      <c r="BZ256" s="2"/>
      <c r="CA256" s="2"/>
      <c r="CB256" s="2"/>
      <c r="CC256" s="2"/>
      <c r="CD256" s="2"/>
      <c r="CE256" s="2"/>
      <c r="CF256" s="2"/>
      <c r="CG256" s="2"/>
      <c r="CH256" s="2"/>
      <c r="CI256" s="2"/>
      <c r="CJ256" s="2"/>
      <c r="CK256" s="2"/>
      <c r="CL256" s="2"/>
      <c r="CM256" s="2"/>
      <c r="CN256" s="2"/>
      <c r="CO256" s="2"/>
      <c r="CP256" s="2"/>
      <c r="CQ256" s="2"/>
      <c r="CR256" s="2"/>
      <c r="CS256" s="2"/>
      <c r="CT256" s="2"/>
      <c r="CU256" s="2"/>
      <c r="CV256" s="2"/>
      <c r="CW256" s="2"/>
      <c r="CX256" s="2"/>
      <c r="CY256" s="2"/>
      <c r="CZ256" s="2"/>
      <c r="DA256" s="2"/>
      <c r="DB256" s="2"/>
      <c r="DC256" s="2"/>
      <c r="DD256" s="2"/>
      <c r="DE256" s="2"/>
      <c r="DF256" s="2"/>
      <c r="DG256" s="3"/>
      <c r="DH256" s="3"/>
      <c r="DI256" s="3"/>
      <c r="DJ256" s="3"/>
      <c r="DK256" s="3"/>
      <c r="DL256" s="3"/>
      <c r="DM256" s="3"/>
      <c r="DN256" s="3"/>
      <c r="DO256" s="3"/>
      <c r="DP256" s="3"/>
      <c r="DQ256" s="3"/>
      <c r="DR256" s="3"/>
      <c r="DS256" s="3"/>
      <c r="DT256" s="3"/>
      <c r="DU256" s="3"/>
      <c r="DV256" s="3"/>
      <c r="DW256" s="3"/>
      <c r="DX256" s="3"/>
      <c r="DY256" s="3"/>
      <c r="DZ256" s="3"/>
      <c r="EA256" s="3"/>
      <c r="EB256" s="3"/>
      <c r="EC256" s="3"/>
      <c r="ED256" s="3"/>
      <c r="EE256" s="3"/>
      <c r="EF256" s="3"/>
      <c r="EG256" s="3"/>
      <c r="EH256" s="3"/>
      <c r="EI256" s="3"/>
      <c r="EJ256" s="3"/>
      <c r="EK256" s="3"/>
      <c r="EL256" s="3"/>
      <c r="EM256" s="3"/>
      <c r="EN256" s="3"/>
      <c r="EO256" s="3"/>
      <c r="EP256" s="3"/>
      <c r="EQ256" s="3"/>
      <c r="ER256" s="3"/>
      <c r="ES256" s="3"/>
      <c r="ET256" s="3"/>
      <c r="EU256" s="3"/>
      <c r="EV256" s="3"/>
      <c r="EW256" s="3"/>
      <c r="EX256" s="3"/>
      <c r="EY256" s="3"/>
      <c r="EZ256" s="3"/>
      <c r="FA256" s="3"/>
      <c r="FB256" s="3"/>
      <c r="FC256" s="3"/>
      <c r="FD256" s="3"/>
      <c r="FE256" s="3"/>
      <c r="FF256" s="3"/>
      <c r="FG256" s="3"/>
      <c r="FH256" s="3"/>
      <c r="FI256" s="3"/>
      <c r="FJ256" s="3"/>
      <c r="FK256" s="3"/>
      <c r="FL256" s="3"/>
      <c r="FM256" s="3"/>
      <c r="FN256" s="3"/>
      <c r="FO256" s="3"/>
      <c r="FP256" s="3"/>
      <c r="FQ256" s="3"/>
      <c r="FR256" s="3"/>
      <c r="FS256" s="3"/>
      <c r="FT256" s="3"/>
      <c r="FU256" s="3"/>
      <c r="FV256" s="3"/>
      <c r="FW256" s="3"/>
      <c r="FX256" s="3"/>
      <c r="FY256" s="3"/>
      <c r="FZ256" s="3"/>
      <c r="GA256" s="3"/>
      <c r="GB256" s="3"/>
      <c r="GC256" s="3"/>
      <c r="GD256" s="3"/>
      <c r="GE256" s="3"/>
      <c r="GF256" s="3"/>
      <c r="GG256" s="3"/>
      <c r="GH256" s="3"/>
      <c r="GI256" s="3"/>
      <c r="GJ256" s="3"/>
      <c r="GK256" s="3"/>
      <c r="GL256" s="3"/>
      <c r="GM256" s="3"/>
      <c r="GN256" s="3"/>
      <c r="GO256" s="3"/>
      <c r="GP256" s="3"/>
      <c r="GQ256" s="3"/>
      <c r="GR256" s="3"/>
      <c r="GS256" s="3"/>
      <c r="GT256" s="3"/>
      <c r="GU256" s="3"/>
      <c r="GV256" s="3"/>
      <c r="GW256" s="3"/>
      <c r="GX256" s="3">
        <v>0</v>
      </c>
    </row>
    <row r="258" spans="1:28" x14ac:dyDescent="0.2">
      <c r="A258" s="4">
        <v>50</v>
      </c>
      <c r="B258" s="4">
        <v>0</v>
      </c>
      <c r="C258" s="4">
        <v>0</v>
      </c>
      <c r="D258" s="4">
        <v>1</v>
      </c>
      <c r="E258" s="4">
        <v>201</v>
      </c>
      <c r="F258" s="4">
        <f>ROUND(Source!O256,O258)</f>
        <v>7307779.3799999999</v>
      </c>
      <c r="G258" s="4" t="s">
        <v>17</v>
      </c>
      <c r="H258" s="4" t="s">
        <v>18</v>
      </c>
      <c r="I258" s="4"/>
      <c r="J258" s="4"/>
      <c r="K258" s="4">
        <v>201</v>
      </c>
      <c r="L258" s="4">
        <v>1</v>
      </c>
      <c r="M258" s="4">
        <v>3</v>
      </c>
      <c r="N258" s="4" t="s">
        <v>3</v>
      </c>
      <c r="O258" s="4">
        <v>2</v>
      </c>
      <c r="P258" s="4"/>
      <c r="Q258" s="4"/>
      <c r="R258" s="4"/>
      <c r="S258" s="4"/>
      <c r="T258" s="4"/>
      <c r="U258" s="4"/>
      <c r="V258" s="4"/>
      <c r="W258" s="4">
        <v>7307779.3799999999</v>
      </c>
      <c r="X258" s="4">
        <v>1</v>
      </c>
      <c r="Y258" s="4">
        <v>7307779.3799999999</v>
      </c>
      <c r="Z258" s="4"/>
      <c r="AA258" s="4"/>
      <c r="AB258" s="4"/>
    </row>
    <row r="259" spans="1:28" x14ac:dyDescent="0.2">
      <c r="A259" s="4">
        <v>50</v>
      </c>
      <c r="B259" s="4">
        <v>0</v>
      </c>
      <c r="C259" s="4">
        <v>0</v>
      </c>
      <c r="D259" s="4">
        <v>1</v>
      </c>
      <c r="E259" s="4">
        <v>202</v>
      </c>
      <c r="F259" s="4">
        <f>ROUND(Source!P256,O259)</f>
        <v>5713531.8099999996</v>
      </c>
      <c r="G259" s="4" t="s">
        <v>19</v>
      </c>
      <c r="H259" s="4" t="s">
        <v>20</v>
      </c>
      <c r="I259" s="4"/>
      <c r="J259" s="4"/>
      <c r="K259" s="4">
        <v>202</v>
      </c>
      <c r="L259" s="4">
        <v>2</v>
      </c>
      <c r="M259" s="4">
        <v>3</v>
      </c>
      <c r="N259" s="4" t="s">
        <v>3</v>
      </c>
      <c r="O259" s="4">
        <v>2</v>
      </c>
      <c r="P259" s="4"/>
      <c r="Q259" s="4"/>
      <c r="R259" s="4"/>
      <c r="S259" s="4"/>
      <c r="T259" s="4"/>
      <c r="U259" s="4"/>
      <c r="V259" s="4"/>
      <c r="W259" s="4">
        <v>5713531.8099999996</v>
      </c>
      <c r="X259" s="4">
        <v>1</v>
      </c>
      <c r="Y259" s="4">
        <v>5713531.8099999996</v>
      </c>
      <c r="Z259" s="4"/>
      <c r="AA259" s="4"/>
      <c r="AB259" s="4"/>
    </row>
    <row r="260" spans="1:28" x14ac:dyDescent="0.2">
      <c r="A260" s="4">
        <v>50</v>
      </c>
      <c r="B260" s="4">
        <v>0</v>
      </c>
      <c r="C260" s="4">
        <v>0</v>
      </c>
      <c r="D260" s="4">
        <v>1</v>
      </c>
      <c r="E260" s="4">
        <v>222</v>
      </c>
      <c r="F260" s="4">
        <f>ROUND(Source!AO256,O260)</f>
        <v>0</v>
      </c>
      <c r="G260" s="4" t="s">
        <v>21</v>
      </c>
      <c r="H260" s="4" t="s">
        <v>22</v>
      </c>
      <c r="I260" s="4"/>
      <c r="J260" s="4"/>
      <c r="K260" s="4">
        <v>222</v>
      </c>
      <c r="L260" s="4">
        <v>3</v>
      </c>
      <c r="M260" s="4">
        <v>3</v>
      </c>
      <c r="N260" s="4" t="s">
        <v>3</v>
      </c>
      <c r="O260" s="4">
        <v>2</v>
      </c>
      <c r="P260" s="4"/>
      <c r="Q260" s="4"/>
      <c r="R260" s="4"/>
      <c r="S260" s="4"/>
      <c r="T260" s="4"/>
      <c r="U260" s="4"/>
      <c r="V260" s="4"/>
      <c r="W260" s="4">
        <v>0</v>
      </c>
      <c r="X260" s="4">
        <v>1</v>
      </c>
      <c r="Y260" s="4">
        <v>0</v>
      </c>
      <c r="Z260" s="4"/>
      <c r="AA260" s="4"/>
      <c r="AB260" s="4"/>
    </row>
    <row r="261" spans="1:28" x14ac:dyDescent="0.2">
      <c r="A261" s="4">
        <v>50</v>
      </c>
      <c r="B261" s="4">
        <v>0</v>
      </c>
      <c r="C261" s="4">
        <v>0</v>
      </c>
      <c r="D261" s="4">
        <v>1</v>
      </c>
      <c r="E261" s="4">
        <v>225</v>
      </c>
      <c r="F261" s="4">
        <f>ROUND(Source!AV256,O261)</f>
        <v>5713531.8099999996</v>
      </c>
      <c r="G261" s="4" t="s">
        <v>23</v>
      </c>
      <c r="H261" s="4" t="s">
        <v>24</v>
      </c>
      <c r="I261" s="4"/>
      <c r="J261" s="4"/>
      <c r="K261" s="4">
        <v>225</v>
      </c>
      <c r="L261" s="4">
        <v>4</v>
      </c>
      <c r="M261" s="4">
        <v>3</v>
      </c>
      <c r="N261" s="4" t="s">
        <v>3</v>
      </c>
      <c r="O261" s="4">
        <v>2</v>
      </c>
      <c r="P261" s="4"/>
      <c r="Q261" s="4"/>
      <c r="R261" s="4"/>
      <c r="S261" s="4"/>
      <c r="T261" s="4"/>
      <c r="U261" s="4"/>
      <c r="V261" s="4"/>
      <c r="W261" s="4">
        <v>5713531.8099999996</v>
      </c>
      <c r="X261" s="4">
        <v>1</v>
      </c>
      <c r="Y261" s="4">
        <v>5713531.8099999996</v>
      </c>
      <c r="Z261" s="4"/>
      <c r="AA261" s="4"/>
      <c r="AB261" s="4"/>
    </row>
    <row r="262" spans="1:28" x14ac:dyDescent="0.2">
      <c r="A262" s="4">
        <v>50</v>
      </c>
      <c r="B262" s="4">
        <v>0</v>
      </c>
      <c r="C262" s="4">
        <v>0</v>
      </c>
      <c r="D262" s="4">
        <v>1</v>
      </c>
      <c r="E262" s="4">
        <v>226</v>
      </c>
      <c r="F262" s="4">
        <f>ROUND(Source!AW256,O262)</f>
        <v>5713531.8099999996</v>
      </c>
      <c r="G262" s="4" t="s">
        <v>25</v>
      </c>
      <c r="H262" s="4" t="s">
        <v>26</v>
      </c>
      <c r="I262" s="4"/>
      <c r="J262" s="4"/>
      <c r="K262" s="4">
        <v>226</v>
      </c>
      <c r="L262" s="4">
        <v>5</v>
      </c>
      <c r="M262" s="4">
        <v>3</v>
      </c>
      <c r="N262" s="4" t="s">
        <v>3</v>
      </c>
      <c r="O262" s="4">
        <v>2</v>
      </c>
      <c r="P262" s="4"/>
      <c r="Q262" s="4"/>
      <c r="R262" s="4"/>
      <c r="S262" s="4"/>
      <c r="T262" s="4"/>
      <c r="U262" s="4"/>
      <c r="V262" s="4"/>
      <c r="W262" s="4">
        <v>5713531.8099999996</v>
      </c>
      <c r="X262" s="4">
        <v>1</v>
      </c>
      <c r="Y262" s="4">
        <v>5713531.8099999996</v>
      </c>
      <c r="Z262" s="4"/>
      <c r="AA262" s="4"/>
      <c r="AB262" s="4"/>
    </row>
    <row r="263" spans="1:28" x14ac:dyDescent="0.2">
      <c r="A263" s="4">
        <v>50</v>
      </c>
      <c r="B263" s="4">
        <v>0</v>
      </c>
      <c r="C263" s="4">
        <v>0</v>
      </c>
      <c r="D263" s="4">
        <v>1</v>
      </c>
      <c r="E263" s="4">
        <v>227</v>
      </c>
      <c r="F263" s="4">
        <f>ROUND(Source!AX256,O263)</f>
        <v>0</v>
      </c>
      <c r="G263" s="4" t="s">
        <v>27</v>
      </c>
      <c r="H263" s="4" t="s">
        <v>28</v>
      </c>
      <c r="I263" s="4"/>
      <c r="J263" s="4"/>
      <c r="K263" s="4">
        <v>227</v>
      </c>
      <c r="L263" s="4">
        <v>6</v>
      </c>
      <c r="M263" s="4">
        <v>3</v>
      </c>
      <c r="N263" s="4" t="s">
        <v>3</v>
      </c>
      <c r="O263" s="4">
        <v>2</v>
      </c>
      <c r="P263" s="4"/>
      <c r="Q263" s="4"/>
      <c r="R263" s="4"/>
      <c r="S263" s="4"/>
      <c r="T263" s="4"/>
      <c r="U263" s="4"/>
      <c r="V263" s="4"/>
      <c r="W263" s="4">
        <v>0</v>
      </c>
      <c r="X263" s="4">
        <v>1</v>
      </c>
      <c r="Y263" s="4">
        <v>0</v>
      </c>
      <c r="Z263" s="4"/>
      <c r="AA263" s="4"/>
      <c r="AB263" s="4"/>
    </row>
    <row r="264" spans="1:28" x14ac:dyDescent="0.2">
      <c r="A264" s="4">
        <v>50</v>
      </c>
      <c r="B264" s="4">
        <v>0</v>
      </c>
      <c r="C264" s="4">
        <v>0</v>
      </c>
      <c r="D264" s="4">
        <v>1</v>
      </c>
      <c r="E264" s="4">
        <v>228</v>
      </c>
      <c r="F264" s="4">
        <f>ROUND(Source!AY256,O264)</f>
        <v>5713531.8099999996</v>
      </c>
      <c r="G264" s="4" t="s">
        <v>29</v>
      </c>
      <c r="H264" s="4" t="s">
        <v>30</v>
      </c>
      <c r="I264" s="4"/>
      <c r="J264" s="4"/>
      <c r="K264" s="4">
        <v>228</v>
      </c>
      <c r="L264" s="4">
        <v>7</v>
      </c>
      <c r="M264" s="4">
        <v>3</v>
      </c>
      <c r="N264" s="4" t="s">
        <v>3</v>
      </c>
      <c r="O264" s="4">
        <v>2</v>
      </c>
      <c r="P264" s="4"/>
      <c r="Q264" s="4"/>
      <c r="R264" s="4"/>
      <c r="S264" s="4"/>
      <c r="T264" s="4"/>
      <c r="U264" s="4"/>
      <c r="V264" s="4"/>
      <c r="W264" s="4">
        <v>5713531.8099999996</v>
      </c>
      <c r="X264" s="4">
        <v>1</v>
      </c>
      <c r="Y264" s="4">
        <v>5713531.8099999996</v>
      </c>
      <c r="Z264" s="4"/>
      <c r="AA264" s="4"/>
      <c r="AB264" s="4"/>
    </row>
    <row r="265" spans="1:28" x14ac:dyDescent="0.2">
      <c r="A265" s="4">
        <v>50</v>
      </c>
      <c r="B265" s="4">
        <v>0</v>
      </c>
      <c r="C265" s="4">
        <v>0</v>
      </c>
      <c r="D265" s="4">
        <v>1</v>
      </c>
      <c r="E265" s="4">
        <v>216</v>
      </c>
      <c r="F265" s="4">
        <f>ROUND(Source!AP256,O265)</f>
        <v>0</v>
      </c>
      <c r="G265" s="4" t="s">
        <v>31</v>
      </c>
      <c r="H265" s="4" t="s">
        <v>32</v>
      </c>
      <c r="I265" s="4"/>
      <c r="J265" s="4"/>
      <c r="K265" s="4">
        <v>216</v>
      </c>
      <c r="L265" s="4">
        <v>8</v>
      </c>
      <c r="M265" s="4">
        <v>3</v>
      </c>
      <c r="N265" s="4" t="s">
        <v>3</v>
      </c>
      <c r="O265" s="4">
        <v>2</v>
      </c>
      <c r="P265" s="4"/>
      <c r="Q265" s="4"/>
      <c r="R265" s="4"/>
      <c r="S265" s="4"/>
      <c r="T265" s="4"/>
      <c r="U265" s="4"/>
      <c r="V265" s="4"/>
      <c r="W265" s="4">
        <v>0</v>
      </c>
      <c r="X265" s="4">
        <v>1</v>
      </c>
      <c r="Y265" s="4">
        <v>0</v>
      </c>
      <c r="Z265" s="4"/>
      <c r="AA265" s="4"/>
      <c r="AB265" s="4"/>
    </row>
    <row r="266" spans="1:28" x14ac:dyDescent="0.2">
      <c r="A266" s="4">
        <v>50</v>
      </c>
      <c r="B266" s="4">
        <v>0</v>
      </c>
      <c r="C266" s="4">
        <v>0</v>
      </c>
      <c r="D266" s="4">
        <v>1</v>
      </c>
      <c r="E266" s="4">
        <v>223</v>
      </c>
      <c r="F266" s="4">
        <f>ROUND(Source!AQ256,O266)</f>
        <v>0</v>
      </c>
      <c r="G266" s="4" t="s">
        <v>33</v>
      </c>
      <c r="H266" s="4" t="s">
        <v>34</v>
      </c>
      <c r="I266" s="4"/>
      <c r="J266" s="4"/>
      <c r="K266" s="4">
        <v>223</v>
      </c>
      <c r="L266" s="4">
        <v>9</v>
      </c>
      <c r="M266" s="4">
        <v>3</v>
      </c>
      <c r="N266" s="4" t="s">
        <v>3</v>
      </c>
      <c r="O266" s="4">
        <v>2</v>
      </c>
      <c r="P266" s="4"/>
      <c r="Q266" s="4"/>
      <c r="R266" s="4"/>
      <c r="S266" s="4"/>
      <c r="T266" s="4"/>
      <c r="U266" s="4"/>
      <c r="V266" s="4"/>
      <c r="W266" s="4">
        <v>0</v>
      </c>
      <c r="X266" s="4">
        <v>1</v>
      </c>
      <c r="Y266" s="4">
        <v>0</v>
      </c>
      <c r="Z266" s="4"/>
      <c r="AA266" s="4"/>
      <c r="AB266" s="4"/>
    </row>
    <row r="267" spans="1:28" x14ac:dyDescent="0.2">
      <c r="A267" s="4">
        <v>50</v>
      </c>
      <c r="B267" s="4">
        <v>0</v>
      </c>
      <c r="C267" s="4">
        <v>0</v>
      </c>
      <c r="D267" s="4">
        <v>1</v>
      </c>
      <c r="E267" s="4">
        <v>229</v>
      </c>
      <c r="F267" s="4">
        <f>ROUND(Source!AZ256,O267)</f>
        <v>0</v>
      </c>
      <c r="G267" s="4" t="s">
        <v>35</v>
      </c>
      <c r="H267" s="4" t="s">
        <v>36</v>
      </c>
      <c r="I267" s="4"/>
      <c r="J267" s="4"/>
      <c r="K267" s="4">
        <v>229</v>
      </c>
      <c r="L267" s="4">
        <v>10</v>
      </c>
      <c r="M267" s="4">
        <v>3</v>
      </c>
      <c r="N267" s="4" t="s">
        <v>3</v>
      </c>
      <c r="O267" s="4">
        <v>2</v>
      </c>
      <c r="P267" s="4"/>
      <c r="Q267" s="4"/>
      <c r="R267" s="4"/>
      <c r="S267" s="4"/>
      <c r="T267" s="4"/>
      <c r="U267" s="4"/>
      <c r="V267" s="4"/>
      <c r="W267" s="4">
        <v>0</v>
      </c>
      <c r="X267" s="4">
        <v>1</v>
      </c>
      <c r="Y267" s="4">
        <v>0</v>
      </c>
      <c r="Z267" s="4"/>
      <c r="AA267" s="4"/>
      <c r="AB267" s="4"/>
    </row>
    <row r="268" spans="1:28" x14ac:dyDescent="0.2">
      <c r="A268" s="4">
        <v>50</v>
      </c>
      <c r="B268" s="4">
        <v>0</v>
      </c>
      <c r="C268" s="4">
        <v>0</v>
      </c>
      <c r="D268" s="4">
        <v>1</v>
      </c>
      <c r="E268" s="4">
        <v>203</v>
      </c>
      <c r="F268" s="4">
        <f>ROUND(Source!Q256,O268)</f>
        <v>156985.06</v>
      </c>
      <c r="G268" s="4" t="s">
        <v>37</v>
      </c>
      <c r="H268" s="4" t="s">
        <v>38</v>
      </c>
      <c r="I268" s="4"/>
      <c r="J268" s="4"/>
      <c r="K268" s="4">
        <v>203</v>
      </c>
      <c r="L268" s="4">
        <v>11</v>
      </c>
      <c r="M268" s="4">
        <v>3</v>
      </c>
      <c r="N268" s="4" t="s">
        <v>3</v>
      </c>
      <c r="O268" s="4">
        <v>2</v>
      </c>
      <c r="P268" s="4"/>
      <c r="Q268" s="4"/>
      <c r="R268" s="4"/>
      <c r="S268" s="4"/>
      <c r="T268" s="4"/>
      <c r="U268" s="4"/>
      <c r="V268" s="4"/>
      <c r="W268" s="4">
        <v>156985.06</v>
      </c>
      <c r="X268" s="4">
        <v>1</v>
      </c>
      <c r="Y268" s="4">
        <v>156985.06</v>
      </c>
      <c r="Z268" s="4"/>
      <c r="AA268" s="4"/>
      <c r="AB268" s="4"/>
    </row>
    <row r="269" spans="1:28" x14ac:dyDescent="0.2">
      <c r="A269" s="4">
        <v>50</v>
      </c>
      <c r="B269" s="4">
        <v>0</v>
      </c>
      <c r="C269" s="4">
        <v>0</v>
      </c>
      <c r="D269" s="4">
        <v>1</v>
      </c>
      <c r="E269" s="4">
        <v>231</v>
      </c>
      <c r="F269" s="4">
        <f>ROUND(Source!BB256,O269)</f>
        <v>0</v>
      </c>
      <c r="G269" s="4" t="s">
        <v>39</v>
      </c>
      <c r="H269" s="4" t="s">
        <v>40</v>
      </c>
      <c r="I269" s="4"/>
      <c r="J269" s="4"/>
      <c r="K269" s="4">
        <v>231</v>
      </c>
      <c r="L269" s="4">
        <v>12</v>
      </c>
      <c r="M269" s="4">
        <v>3</v>
      </c>
      <c r="N269" s="4" t="s">
        <v>3</v>
      </c>
      <c r="O269" s="4">
        <v>2</v>
      </c>
      <c r="P269" s="4"/>
      <c r="Q269" s="4"/>
      <c r="R269" s="4"/>
      <c r="S269" s="4"/>
      <c r="T269" s="4"/>
      <c r="U269" s="4"/>
      <c r="V269" s="4"/>
      <c r="W269" s="4">
        <v>0</v>
      </c>
      <c r="X269" s="4">
        <v>1</v>
      </c>
      <c r="Y269" s="4">
        <v>0</v>
      </c>
      <c r="Z269" s="4"/>
      <c r="AA269" s="4"/>
      <c r="AB269" s="4"/>
    </row>
    <row r="270" spans="1:28" x14ac:dyDescent="0.2">
      <c r="A270" s="4">
        <v>50</v>
      </c>
      <c r="B270" s="4">
        <v>0</v>
      </c>
      <c r="C270" s="4">
        <v>0</v>
      </c>
      <c r="D270" s="4">
        <v>1</v>
      </c>
      <c r="E270" s="4">
        <v>204</v>
      </c>
      <c r="F270" s="4">
        <f>ROUND(Source!R256,O270)</f>
        <v>90692.11</v>
      </c>
      <c r="G270" s="4" t="s">
        <v>41</v>
      </c>
      <c r="H270" s="4" t="s">
        <v>42</v>
      </c>
      <c r="I270" s="4"/>
      <c r="J270" s="4"/>
      <c r="K270" s="4">
        <v>204</v>
      </c>
      <c r="L270" s="4">
        <v>13</v>
      </c>
      <c r="M270" s="4">
        <v>3</v>
      </c>
      <c r="N270" s="4" t="s">
        <v>3</v>
      </c>
      <c r="O270" s="4">
        <v>2</v>
      </c>
      <c r="P270" s="4"/>
      <c r="Q270" s="4"/>
      <c r="R270" s="4"/>
      <c r="S270" s="4"/>
      <c r="T270" s="4"/>
      <c r="U270" s="4"/>
      <c r="V270" s="4"/>
      <c r="W270" s="4">
        <v>90692.109999999986</v>
      </c>
      <c r="X270" s="4">
        <v>1</v>
      </c>
      <c r="Y270" s="4">
        <v>90692.109999999986</v>
      </c>
      <c r="Z270" s="4"/>
      <c r="AA270" s="4"/>
      <c r="AB270" s="4"/>
    </row>
    <row r="271" spans="1:28" x14ac:dyDescent="0.2">
      <c r="A271" s="4">
        <v>50</v>
      </c>
      <c r="B271" s="4">
        <v>0</v>
      </c>
      <c r="C271" s="4">
        <v>0</v>
      </c>
      <c r="D271" s="4">
        <v>1</v>
      </c>
      <c r="E271" s="4">
        <v>205</v>
      </c>
      <c r="F271" s="4">
        <f>ROUND(Source!S256,O271)</f>
        <v>1346570.4</v>
      </c>
      <c r="G271" s="4" t="s">
        <v>43</v>
      </c>
      <c r="H271" s="4" t="s">
        <v>44</v>
      </c>
      <c r="I271" s="4"/>
      <c r="J271" s="4"/>
      <c r="K271" s="4">
        <v>205</v>
      </c>
      <c r="L271" s="4">
        <v>14</v>
      </c>
      <c r="M271" s="4">
        <v>3</v>
      </c>
      <c r="N271" s="4" t="s">
        <v>3</v>
      </c>
      <c r="O271" s="4">
        <v>2</v>
      </c>
      <c r="P271" s="4"/>
      <c r="Q271" s="4"/>
      <c r="R271" s="4"/>
      <c r="S271" s="4"/>
      <c r="T271" s="4"/>
      <c r="U271" s="4"/>
      <c r="V271" s="4"/>
      <c r="W271" s="4">
        <v>1346570.4000000001</v>
      </c>
      <c r="X271" s="4">
        <v>1</v>
      </c>
      <c r="Y271" s="4">
        <v>1346570.4000000001</v>
      </c>
      <c r="Z271" s="4"/>
      <c r="AA271" s="4"/>
      <c r="AB271" s="4"/>
    </row>
    <row r="272" spans="1:28" x14ac:dyDescent="0.2">
      <c r="A272" s="4">
        <v>50</v>
      </c>
      <c r="B272" s="4">
        <v>0</v>
      </c>
      <c r="C272" s="4">
        <v>0</v>
      </c>
      <c r="D272" s="4">
        <v>1</v>
      </c>
      <c r="E272" s="4">
        <v>232</v>
      </c>
      <c r="F272" s="4">
        <f>ROUND(Source!BC256,O272)</f>
        <v>0</v>
      </c>
      <c r="G272" s="4" t="s">
        <v>45</v>
      </c>
      <c r="H272" s="4" t="s">
        <v>46</v>
      </c>
      <c r="I272" s="4"/>
      <c r="J272" s="4"/>
      <c r="K272" s="4">
        <v>232</v>
      </c>
      <c r="L272" s="4">
        <v>15</v>
      </c>
      <c r="M272" s="4">
        <v>3</v>
      </c>
      <c r="N272" s="4" t="s">
        <v>3</v>
      </c>
      <c r="O272" s="4">
        <v>2</v>
      </c>
      <c r="P272" s="4"/>
      <c r="Q272" s="4"/>
      <c r="R272" s="4"/>
      <c r="S272" s="4"/>
      <c r="T272" s="4"/>
      <c r="U272" s="4"/>
      <c r="V272" s="4"/>
      <c r="W272" s="4">
        <v>0</v>
      </c>
      <c r="X272" s="4">
        <v>1</v>
      </c>
      <c r="Y272" s="4">
        <v>0</v>
      </c>
      <c r="Z272" s="4"/>
      <c r="AA272" s="4"/>
      <c r="AB272" s="4"/>
    </row>
    <row r="273" spans="1:28" x14ac:dyDescent="0.2">
      <c r="A273" s="4">
        <v>50</v>
      </c>
      <c r="B273" s="4">
        <v>0</v>
      </c>
      <c r="C273" s="4">
        <v>0</v>
      </c>
      <c r="D273" s="4">
        <v>1</v>
      </c>
      <c r="E273" s="4">
        <v>214</v>
      </c>
      <c r="F273" s="4">
        <f>ROUND(Source!AS256,O273)</f>
        <v>2703224.14</v>
      </c>
      <c r="G273" s="4" t="s">
        <v>47</v>
      </c>
      <c r="H273" s="4" t="s">
        <v>48</v>
      </c>
      <c r="I273" s="4"/>
      <c r="J273" s="4"/>
      <c r="K273" s="4">
        <v>214</v>
      </c>
      <c r="L273" s="4">
        <v>16</v>
      </c>
      <c r="M273" s="4">
        <v>3</v>
      </c>
      <c r="N273" s="4" t="s">
        <v>3</v>
      </c>
      <c r="O273" s="4">
        <v>2</v>
      </c>
      <c r="P273" s="4"/>
      <c r="Q273" s="4"/>
      <c r="R273" s="4"/>
      <c r="S273" s="4"/>
      <c r="T273" s="4"/>
      <c r="U273" s="4"/>
      <c r="V273" s="4"/>
      <c r="W273" s="4">
        <v>2703224.14</v>
      </c>
      <c r="X273" s="4">
        <v>1</v>
      </c>
      <c r="Y273" s="4">
        <v>2703224.14</v>
      </c>
      <c r="Z273" s="4"/>
      <c r="AA273" s="4"/>
      <c r="AB273" s="4"/>
    </row>
    <row r="274" spans="1:28" x14ac:dyDescent="0.2">
      <c r="A274" s="4">
        <v>50</v>
      </c>
      <c r="B274" s="4">
        <v>0</v>
      </c>
      <c r="C274" s="4">
        <v>0</v>
      </c>
      <c r="D274" s="4">
        <v>1</v>
      </c>
      <c r="E274" s="4">
        <v>215</v>
      </c>
      <c r="F274" s="4">
        <f>ROUND(Source!AT256,O274)</f>
        <v>6633851.7999999998</v>
      </c>
      <c r="G274" s="4" t="s">
        <v>49</v>
      </c>
      <c r="H274" s="4" t="s">
        <v>50</v>
      </c>
      <c r="I274" s="4"/>
      <c r="J274" s="4"/>
      <c r="K274" s="4">
        <v>215</v>
      </c>
      <c r="L274" s="4">
        <v>17</v>
      </c>
      <c r="M274" s="4">
        <v>3</v>
      </c>
      <c r="N274" s="4" t="s">
        <v>3</v>
      </c>
      <c r="O274" s="4">
        <v>2</v>
      </c>
      <c r="P274" s="4"/>
      <c r="Q274" s="4"/>
      <c r="R274" s="4"/>
      <c r="S274" s="4"/>
      <c r="T274" s="4"/>
      <c r="U274" s="4"/>
      <c r="V274" s="4"/>
      <c r="W274" s="4">
        <v>6633851.7999999998</v>
      </c>
      <c r="X274" s="4">
        <v>1</v>
      </c>
      <c r="Y274" s="4">
        <v>6633851.7999999998</v>
      </c>
      <c r="Z274" s="4"/>
      <c r="AA274" s="4"/>
      <c r="AB274" s="4"/>
    </row>
    <row r="275" spans="1:28" x14ac:dyDescent="0.2">
      <c r="A275" s="4">
        <v>50</v>
      </c>
      <c r="B275" s="4">
        <v>0</v>
      </c>
      <c r="C275" s="4">
        <v>0</v>
      </c>
      <c r="D275" s="4">
        <v>1</v>
      </c>
      <c r="E275" s="4">
        <v>217</v>
      </c>
      <c r="F275" s="4">
        <f>ROUND(Source!AU256,O275)</f>
        <v>30737.279999999999</v>
      </c>
      <c r="G275" s="4" t="s">
        <v>51</v>
      </c>
      <c r="H275" s="4" t="s">
        <v>52</v>
      </c>
      <c r="I275" s="4"/>
      <c r="J275" s="4"/>
      <c r="K275" s="4">
        <v>217</v>
      </c>
      <c r="L275" s="4">
        <v>18</v>
      </c>
      <c r="M275" s="4">
        <v>3</v>
      </c>
      <c r="N275" s="4" t="s">
        <v>3</v>
      </c>
      <c r="O275" s="4">
        <v>2</v>
      </c>
      <c r="P275" s="4"/>
      <c r="Q275" s="4"/>
      <c r="R275" s="4"/>
      <c r="S275" s="4"/>
      <c r="T275" s="4"/>
      <c r="U275" s="4"/>
      <c r="V275" s="4"/>
      <c r="W275" s="4">
        <v>30737.279999999999</v>
      </c>
      <c r="X275" s="4">
        <v>1</v>
      </c>
      <c r="Y275" s="4">
        <v>30737.279999999999</v>
      </c>
      <c r="Z275" s="4"/>
      <c r="AA275" s="4"/>
      <c r="AB275" s="4"/>
    </row>
    <row r="276" spans="1:28" x14ac:dyDescent="0.2">
      <c r="A276" s="4">
        <v>50</v>
      </c>
      <c r="B276" s="4">
        <v>0</v>
      </c>
      <c r="C276" s="4">
        <v>0</v>
      </c>
      <c r="D276" s="4">
        <v>1</v>
      </c>
      <c r="E276" s="4">
        <v>230</v>
      </c>
      <c r="F276" s="4">
        <f>ROUND(Source!BA256,O276)</f>
        <v>0</v>
      </c>
      <c r="G276" s="4" t="s">
        <v>53</v>
      </c>
      <c r="H276" s="4" t="s">
        <v>54</v>
      </c>
      <c r="I276" s="4"/>
      <c r="J276" s="4"/>
      <c r="K276" s="4">
        <v>230</v>
      </c>
      <c r="L276" s="4">
        <v>19</v>
      </c>
      <c r="M276" s="4">
        <v>3</v>
      </c>
      <c r="N276" s="4" t="s">
        <v>3</v>
      </c>
      <c r="O276" s="4">
        <v>2</v>
      </c>
      <c r="P276" s="4"/>
      <c r="Q276" s="4"/>
      <c r="R276" s="4"/>
      <c r="S276" s="4"/>
      <c r="T276" s="4"/>
      <c r="U276" s="4"/>
      <c r="V276" s="4"/>
      <c r="W276" s="4">
        <v>0</v>
      </c>
      <c r="X276" s="4">
        <v>1</v>
      </c>
      <c r="Y276" s="4">
        <v>0</v>
      </c>
      <c r="Z276" s="4"/>
      <c r="AA276" s="4"/>
      <c r="AB276" s="4"/>
    </row>
    <row r="277" spans="1:28" x14ac:dyDescent="0.2">
      <c r="A277" s="4">
        <v>50</v>
      </c>
      <c r="B277" s="4">
        <v>0</v>
      </c>
      <c r="C277" s="4">
        <v>0</v>
      </c>
      <c r="D277" s="4">
        <v>1</v>
      </c>
      <c r="E277" s="4">
        <v>206</v>
      </c>
      <c r="F277" s="4">
        <f>ROUND(Source!T256,O277)</f>
        <v>0</v>
      </c>
      <c r="G277" s="4" t="s">
        <v>55</v>
      </c>
      <c r="H277" s="4" t="s">
        <v>56</v>
      </c>
      <c r="I277" s="4"/>
      <c r="J277" s="4"/>
      <c r="K277" s="4">
        <v>206</v>
      </c>
      <c r="L277" s="4">
        <v>20</v>
      </c>
      <c r="M277" s="4">
        <v>3</v>
      </c>
      <c r="N277" s="4" t="s">
        <v>3</v>
      </c>
      <c r="O277" s="4">
        <v>2</v>
      </c>
      <c r="P277" s="4"/>
      <c r="Q277" s="4"/>
      <c r="R277" s="4"/>
      <c r="S277" s="4"/>
      <c r="T277" s="4"/>
      <c r="U277" s="4"/>
      <c r="V277" s="4"/>
      <c r="W277" s="4">
        <v>0</v>
      </c>
      <c r="X277" s="4">
        <v>1</v>
      </c>
      <c r="Y277" s="4">
        <v>0</v>
      </c>
      <c r="Z277" s="4"/>
      <c r="AA277" s="4"/>
      <c r="AB277" s="4"/>
    </row>
    <row r="278" spans="1:28" x14ac:dyDescent="0.2">
      <c r="A278" s="4">
        <v>50</v>
      </c>
      <c r="B278" s="4">
        <v>0</v>
      </c>
      <c r="C278" s="4">
        <v>0</v>
      </c>
      <c r="D278" s="4">
        <v>1</v>
      </c>
      <c r="E278" s="4">
        <v>207</v>
      </c>
      <c r="F278" s="4">
        <f>ROUND(Source!U256,O278)</f>
        <v>3215.768</v>
      </c>
      <c r="G278" s="4" t="s">
        <v>57</v>
      </c>
      <c r="H278" s="4" t="s">
        <v>58</v>
      </c>
      <c r="I278" s="4"/>
      <c r="J278" s="4"/>
      <c r="K278" s="4">
        <v>207</v>
      </c>
      <c r="L278" s="4">
        <v>21</v>
      </c>
      <c r="M278" s="4">
        <v>3</v>
      </c>
      <c r="N278" s="4" t="s">
        <v>3</v>
      </c>
      <c r="O278" s="4">
        <v>7</v>
      </c>
      <c r="P278" s="4"/>
      <c r="Q278" s="4"/>
      <c r="R278" s="4"/>
      <c r="S278" s="4"/>
      <c r="T278" s="4"/>
      <c r="U278" s="4"/>
      <c r="V278" s="4"/>
      <c r="W278" s="4">
        <v>3215.768</v>
      </c>
      <c r="X278" s="4">
        <v>1</v>
      </c>
      <c r="Y278" s="4">
        <v>3215.768</v>
      </c>
      <c r="Z278" s="4"/>
      <c r="AA278" s="4"/>
      <c r="AB278" s="4"/>
    </row>
    <row r="279" spans="1:28" x14ac:dyDescent="0.2">
      <c r="A279" s="4">
        <v>50</v>
      </c>
      <c r="B279" s="4">
        <v>0</v>
      </c>
      <c r="C279" s="4">
        <v>0</v>
      </c>
      <c r="D279" s="4">
        <v>1</v>
      </c>
      <c r="E279" s="4">
        <v>208</v>
      </c>
      <c r="F279" s="4">
        <f>ROUND(Source!V256,O279)</f>
        <v>169.30080000000001</v>
      </c>
      <c r="G279" s="4" t="s">
        <v>59</v>
      </c>
      <c r="H279" s="4" t="s">
        <v>60</v>
      </c>
      <c r="I279" s="4"/>
      <c r="J279" s="4"/>
      <c r="K279" s="4">
        <v>208</v>
      </c>
      <c r="L279" s="4">
        <v>22</v>
      </c>
      <c r="M279" s="4">
        <v>3</v>
      </c>
      <c r="N279" s="4" t="s">
        <v>3</v>
      </c>
      <c r="O279" s="4">
        <v>7</v>
      </c>
      <c r="P279" s="4"/>
      <c r="Q279" s="4"/>
      <c r="R279" s="4"/>
      <c r="S279" s="4"/>
      <c r="T279" s="4"/>
      <c r="U279" s="4"/>
      <c r="V279" s="4"/>
      <c r="W279" s="4">
        <v>169.30080000000001</v>
      </c>
      <c r="X279" s="4">
        <v>1</v>
      </c>
      <c r="Y279" s="4">
        <v>169.30080000000001</v>
      </c>
      <c r="Z279" s="4"/>
      <c r="AA279" s="4"/>
      <c r="AB279" s="4"/>
    </row>
    <row r="280" spans="1:28" x14ac:dyDescent="0.2">
      <c r="A280" s="4">
        <v>50</v>
      </c>
      <c r="B280" s="4">
        <v>0</v>
      </c>
      <c r="C280" s="4">
        <v>0</v>
      </c>
      <c r="D280" s="4">
        <v>1</v>
      </c>
      <c r="E280" s="4">
        <v>209</v>
      </c>
      <c r="F280" s="4">
        <f>ROUND(Source!W256,O280)</f>
        <v>0</v>
      </c>
      <c r="G280" s="4" t="s">
        <v>61</v>
      </c>
      <c r="H280" s="4" t="s">
        <v>62</v>
      </c>
      <c r="I280" s="4"/>
      <c r="J280" s="4"/>
      <c r="K280" s="4">
        <v>209</v>
      </c>
      <c r="L280" s="4">
        <v>23</v>
      </c>
      <c r="M280" s="4">
        <v>3</v>
      </c>
      <c r="N280" s="4" t="s">
        <v>3</v>
      </c>
      <c r="O280" s="4">
        <v>2</v>
      </c>
      <c r="P280" s="4"/>
      <c r="Q280" s="4"/>
      <c r="R280" s="4"/>
      <c r="S280" s="4"/>
      <c r="T280" s="4"/>
      <c r="U280" s="4"/>
      <c r="V280" s="4"/>
      <c r="W280" s="4">
        <v>0</v>
      </c>
      <c r="X280" s="4">
        <v>1</v>
      </c>
      <c r="Y280" s="4">
        <v>0</v>
      </c>
      <c r="Z280" s="4"/>
      <c r="AA280" s="4"/>
      <c r="AB280" s="4"/>
    </row>
    <row r="281" spans="1:28" x14ac:dyDescent="0.2">
      <c r="A281" s="4">
        <v>50</v>
      </c>
      <c r="B281" s="4">
        <v>0</v>
      </c>
      <c r="C281" s="4">
        <v>0</v>
      </c>
      <c r="D281" s="4">
        <v>1</v>
      </c>
      <c r="E281" s="4">
        <v>233</v>
      </c>
      <c r="F281" s="4">
        <f>ROUND(Source!BD256,O281)</f>
        <v>0</v>
      </c>
      <c r="G281" s="4" t="s">
        <v>63</v>
      </c>
      <c r="H281" s="4" t="s">
        <v>64</v>
      </c>
      <c r="I281" s="4"/>
      <c r="J281" s="4"/>
      <c r="K281" s="4">
        <v>233</v>
      </c>
      <c r="L281" s="4">
        <v>24</v>
      </c>
      <c r="M281" s="4">
        <v>3</v>
      </c>
      <c r="N281" s="4" t="s">
        <v>3</v>
      </c>
      <c r="O281" s="4">
        <v>2</v>
      </c>
      <c r="P281" s="4"/>
      <c r="Q281" s="4"/>
      <c r="R281" s="4"/>
      <c r="S281" s="4"/>
      <c r="T281" s="4"/>
      <c r="U281" s="4"/>
      <c r="V281" s="4"/>
      <c r="W281" s="4">
        <v>0</v>
      </c>
      <c r="X281" s="4">
        <v>1</v>
      </c>
      <c r="Y281" s="4">
        <v>0</v>
      </c>
      <c r="Z281" s="4"/>
      <c r="AA281" s="4"/>
      <c r="AB281" s="4"/>
    </row>
    <row r="282" spans="1:28" x14ac:dyDescent="0.2">
      <c r="A282" s="4">
        <v>50</v>
      </c>
      <c r="B282" s="4">
        <v>0</v>
      </c>
      <c r="C282" s="4">
        <v>0</v>
      </c>
      <c r="D282" s="4">
        <v>1</v>
      </c>
      <c r="E282" s="4">
        <v>210</v>
      </c>
      <c r="F282" s="4">
        <f>ROUND(Source!X256,O282)</f>
        <v>1351270.59</v>
      </c>
      <c r="G282" s="4" t="s">
        <v>65</v>
      </c>
      <c r="H282" s="4" t="s">
        <v>66</v>
      </c>
      <c r="I282" s="4"/>
      <c r="J282" s="4"/>
      <c r="K282" s="4">
        <v>210</v>
      </c>
      <c r="L282" s="4">
        <v>25</v>
      </c>
      <c r="M282" s="4">
        <v>3</v>
      </c>
      <c r="N282" s="4" t="s">
        <v>3</v>
      </c>
      <c r="O282" s="4">
        <v>2</v>
      </c>
      <c r="P282" s="4"/>
      <c r="Q282" s="4"/>
      <c r="R282" s="4"/>
      <c r="S282" s="4"/>
      <c r="T282" s="4"/>
      <c r="U282" s="4"/>
      <c r="V282" s="4"/>
      <c r="W282" s="4">
        <v>1351270.59</v>
      </c>
      <c r="X282" s="4">
        <v>1</v>
      </c>
      <c r="Y282" s="4">
        <v>1351270.59</v>
      </c>
      <c r="Z282" s="4"/>
      <c r="AA282" s="4"/>
      <c r="AB282" s="4"/>
    </row>
    <row r="283" spans="1:28" x14ac:dyDescent="0.2">
      <c r="A283" s="4">
        <v>50</v>
      </c>
      <c r="B283" s="4">
        <v>0</v>
      </c>
      <c r="C283" s="4">
        <v>0</v>
      </c>
      <c r="D283" s="4">
        <v>1</v>
      </c>
      <c r="E283" s="4">
        <v>211</v>
      </c>
      <c r="F283" s="4">
        <f>ROUND(Source!Y256,O283)</f>
        <v>708763.25</v>
      </c>
      <c r="G283" s="4" t="s">
        <v>67</v>
      </c>
      <c r="H283" s="4" t="s">
        <v>68</v>
      </c>
      <c r="I283" s="4"/>
      <c r="J283" s="4"/>
      <c r="K283" s="4">
        <v>211</v>
      </c>
      <c r="L283" s="4">
        <v>26</v>
      </c>
      <c r="M283" s="4">
        <v>3</v>
      </c>
      <c r="N283" s="4" t="s">
        <v>3</v>
      </c>
      <c r="O283" s="4">
        <v>2</v>
      </c>
      <c r="P283" s="4"/>
      <c r="Q283" s="4"/>
      <c r="R283" s="4"/>
      <c r="S283" s="4"/>
      <c r="T283" s="4"/>
      <c r="U283" s="4"/>
      <c r="V283" s="4"/>
      <c r="W283" s="4">
        <v>708763.25</v>
      </c>
      <c r="X283" s="4">
        <v>1</v>
      </c>
      <c r="Y283" s="4">
        <v>708763.25</v>
      </c>
      <c r="Z283" s="4"/>
      <c r="AA283" s="4"/>
      <c r="AB283" s="4"/>
    </row>
    <row r="284" spans="1:28" x14ac:dyDescent="0.2">
      <c r="A284" s="4">
        <v>50</v>
      </c>
      <c r="B284" s="4">
        <v>0</v>
      </c>
      <c r="C284" s="4">
        <v>0</v>
      </c>
      <c r="D284" s="4">
        <v>1</v>
      </c>
      <c r="E284" s="4">
        <v>224</v>
      </c>
      <c r="F284" s="4">
        <f>ROUND(Source!AR256,O284)</f>
        <v>9367813.2200000007</v>
      </c>
      <c r="G284" s="4" t="s">
        <v>69</v>
      </c>
      <c r="H284" s="4" t="s">
        <v>70</v>
      </c>
      <c r="I284" s="4"/>
      <c r="J284" s="4"/>
      <c r="K284" s="4">
        <v>224</v>
      </c>
      <c r="L284" s="4">
        <v>27</v>
      </c>
      <c r="M284" s="4">
        <v>3</v>
      </c>
      <c r="N284" s="4" t="s">
        <v>3</v>
      </c>
      <c r="O284" s="4">
        <v>2</v>
      </c>
      <c r="P284" s="4"/>
      <c r="Q284" s="4"/>
      <c r="R284" s="4"/>
      <c r="S284" s="4"/>
      <c r="T284" s="4"/>
      <c r="U284" s="4"/>
      <c r="V284" s="4"/>
      <c r="W284" s="4">
        <v>9367813.2200000007</v>
      </c>
      <c r="X284" s="4">
        <v>1</v>
      </c>
      <c r="Y284" s="4">
        <v>9367813.2200000007</v>
      </c>
      <c r="Z284" s="4"/>
      <c r="AA284" s="4"/>
      <c r="AB284" s="4"/>
    </row>
    <row r="285" spans="1:28" x14ac:dyDescent="0.2">
      <c r="A285" s="4">
        <v>50</v>
      </c>
      <c r="B285" s="4">
        <v>1</v>
      </c>
      <c r="C285" s="4">
        <v>0</v>
      </c>
      <c r="D285" s="4">
        <v>2</v>
      </c>
      <c r="E285" s="4">
        <v>0</v>
      </c>
      <c r="F285" s="4">
        <f>ROUND(F97+F134+F175+F215+F254,O285)</f>
        <v>9367813.2200000007</v>
      </c>
      <c r="G285" s="4" t="s">
        <v>210</v>
      </c>
      <c r="H285" s="4" t="s">
        <v>211</v>
      </c>
      <c r="I285" s="4"/>
      <c r="J285" s="4"/>
      <c r="K285" s="4">
        <v>212</v>
      </c>
      <c r="L285" s="4">
        <v>28</v>
      </c>
      <c r="M285" s="4">
        <v>0</v>
      </c>
      <c r="N285" s="4" t="s">
        <v>3</v>
      </c>
      <c r="O285" s="4">
        <v>2</v>
      </c>
      <c r="P285" s="4"/>
      <c r="Q285" s="4"/>
      <c r="R285" s="4"/>
      <c r="S285" s="4"/>
      <c r="T285" s="4"/>
      <c r="U285" s="4"/>
      <c r="V285" s="4"/>
      <c r="W285" s="4">
        <v>9367813.2200000007</v>
      </c>
      <c r="X285" s="4">
        <v>1</v>
      </c>
      <c r="Y285" s="4">
        <v>9367813.2200000007</v>
      </c>
      <c r="Z285" s="4"/>
      <c r="AA285" s="4"/>
      <c r="AB285" s="4"/>
    </row>
    <row r="286" spans="1:28" x14ac:dyDescent="0.2">
      <c r="A286" s="4">
        <v>50</v>
      </c>
      <c r="B286" s="4">
        <v>1</v>
      </c>
      <c r="C286" s="4">
        <v>0</v>
      </c>
      <c r="D286" s="4">
        <v>2</v>
      </c>
      <c r="E286" s="4">
        <v>0</v>
      </c>
      <c r="F286" s="4">
        <f>ROUND(0.2*F285,O286)</f>
        <v>1873562.64</v>
      </c>
      <c r="G286" s="4" t="s">
        <v>212</v>
      </c>
      <c r="H286" s="4" t="s">
        <v>213</v>
      </c>
      <c r="I286" s="4"/>
      <c r="J286" s="4"/>
      <c r="K286" s="4">
        <v>212</v>
      </c>
      <c r="L286" s="4">
        <v>29</v>
      </c>
      <c r="M286" s="4">
        <v>0</v>
      </c>
      <c r="N286" s="4" t="s">
        <v>3</v>
      </c>
      <c r="O286" s="4">
        <v>2</v>
      </c>
      <c r="P286" s="4"/>
      <c r="Q286" s="4"/>
      <c r="R286" s="4"/>
      <c r="S286" s="4"/>
      <c r="T286" s="4"/>
      <c r="U286" s="4"/>
      <c r="V286" s="4"/>
      <c r="W286" s="4">
        <v>1873562.64</v>
      </c>
      <c r="X286" s="4">
        <v>1</v>
      </c>
      <c r="Y286" s="4">
        <v>1873562.64</v>
      </c>
      <c r="Z286" s="4"/>
      <c r="AA286" s="4"/>
      <c r="AB286" s="4"/>
    </row>
    <row r="287" spans="1:28" x14ac:dyDescent="0.2">
      <c r="A287" s="4">
        <v>50</v>
      </c>
      <c r="B287" s="4">
        <v>1</v>
      </c>
      <c r="C287" s="4">
        <v>0</v>
      </c>
      <c r="D287" s="4">
        <v>2</v>
      </c>
      <c r="E287" s="4">
        <v>0</v>
      </c>
      <c r="F287" s="4">
        <f>ROUND(F286+F285,O287)</f>
        <v>11241375.859999999</v>
      </c>
      <c r="G287" s="4" t="s">
        <v>214</v>
      </c>
      <c r="H287" s="4" t="s">
        <v>215</v>
      </c>
      <c r="I287" s="4"/>
      <c r="J287" s="4"/>
      <c r="K287" s="4">
        <v>212</v>
      </c>
      <c r="L287" s="4">
        <v>30</v>
      </c>
      <c r="M287" s="4">
        <v>0</v>
      </c>
      <c r="N287" s="4" t="s">
        <v>3</v>
      </c>
      <c r="O287" s="4">
        <v>2</v>
      </c>
      <c r="P287" s="4"/>
      <c r="Q287" s="4"/>
      <c r="R287" s="4"/>
      <c r="S287" s="4"/>
      <c r="T287" s="4"/>
      <c r="U287" s="4"/>
      <c r="V287" s="4"/>
      <c r="W287" s="4">
        <v>11241375.859999999</v>
      </c>
      <c r="X287" s="4">
        <v>1</v>
      </c>
      <c r="Y287" s="4">
        <v>11241375.859999999</v>
      </c>
      <c r="Z287" s="4"/>
      <c r="AA287" s="4"/>
      <c r="AB287" s="4"/>
    </row>
    <row r="289" spans="1:206" x14ac:dyDescent="0.2">
      <c r="A289" s="2">
        <v>51</v>
      </c>
      <c r="B289" s="2">
        <f>B12</f>
        <v>348</v>
      </c>
      <c r="C289" s="2">
        <f>A12</f>
        <v>1</v>
      </c>
      <c r="D289" s="2">
        <f>ROW(A12)</f>
        <v>12</v>
      </c>
      <c r="E289" s="2"/>
      <c r="F289" s="2" t="str">
        <f>IF(F12&lt;&gt;"",F12,"")</f>
        <v>Новый объект</v>
      </c>
      <c r="G289" s="2" t="str">
        <f>IF(G12&lt;&gt;"",G12,"")</f>
        <v>КЛ-10кВ</v>
      </c>
      <c r="H289" s="2">
        <v>0</v>
      </c>
      <c r="I289" s="2"/>
      <c r="J289" s="2"/>
      <c r="K289" s="2"/>
      <c r="L289" s="2"/>
      <c r="M289" s="2"/>
      <c r="N289" s="2"/>
      <c r="O289" s="2">
        <f t="shared" ref="O289:T289" si="117">ROUND(O24+O256,2)</f>
        <v>7307779.3799999999</v>
      </c>
      <c r="P289" s="2">
        <f t="shared" si="117"/>
        <v>5713531.8099999996</v>
      </c>
      <c r="Q289" s="2">
        <f t="shared" si="117"/>
        <v>156985.06</v>
      </c>
      <c r="R289" s="2">
        <f t="shared" si="117"/>
        <v>90692.11</v>
      </c>
      <c r="S289" s="2">
        <f t="shared" si="117"/>
        <v>1346570.4</v>
      </c>
      <c r="T289" s="2">
        <f t="shared" si="117"/>
        <v>0</v>
      </c>
      <c r="U289" s="2">
        <f>U24+U256</f>
        <v>3215.768</v>
      </c>
      <c r="V289" s="2">
        <f>V24+V256</f>
        <v>169.30079999999998</v>
      </c>
      <c r="W289" s="2">
        <f>ROUND(W24+W256,2)</f>
        <v>0</v>
      </c>
      <c r="X289" s="2">
        <f>ROUND(X24+X256,2)</f>
        <v>1351270.59</v>
      </c>
      <c r="Y289" s="2">
        <f>ROUND(Y24+Y256,2)</f>
        <v>708763.25</v>
      </c>
      <c r="Z289" s="2"/>
      <c r="AA289" s="2"/>
      <c r="AB289" s="2"/>
      <c r="AC289" s="2"/>
      <c r="AD289" s="2"/>
      <c r="AE289" s="2"/>
      <c r="AF289" s="2"/>
      <c r="AG289" s="2"/>
      <c r="AH289" s="2"/>
      <c r="AI289" s="2"/>
      <c r="AJ289" s="2"/>
      <c r="AK289" s="2"/>
      <c r="AL289" s="2"/>
      <c r="AM289" s="2"/>
      <c r="AN289" s="2"/>
      <c r="AO289" s="2">
        <f t="shared" ref="AO289:BD289" si="118">ROUND(AO24+AO256,2)</f>
        <v>0</v>
      </c>
      <c r="AP289" s="2">
        <f t="shared" si="118"/>
        <v>0</v>
      </c>
      <c r="AQ289" s="2">
        <f t="shared" si="118"/>
        <v>0</v>
      </c>
      <c r="AR289" s="2">
        <f t="shared" si="118"/>
        <v>9367813.2200000007</v>
      </c>
      <c r="AS289" s="2">
        <f t="shared" si="118"/>
        <v>2703224.14</v>
      </c>
      <c r="AT289" s="2">
        <f t="shared" si="118"/>
        <v>6633851.7999999998</v>
      </c>
      <c r="AU289" s="2">
        <f t="shared" si="118"/>
        <v>30737.279999999999</v>
      </c>
      <c r="AV289" s="2">
        <f t="shared" si="118"/>
        <v>5713531.8099999996</v>
      </c>
      <c r="AW289" s="2">
        <f t="shared" si="118"/>
        <v>5713531.8099999996</v>
      </c>
      <c r="AX289" s="2">
        <f t="shared" si="118"/>
        <v>0</v>
      </c>
      <c r="AY289" s="2">
        <f t="shared" si="118"/>
        <v>5713531.8099999996</v>
      </c>
      <c r="AZ289" s="2">
        <f t="shared" si="118"/>
        <v>0</v>
      </c>
      <c r="BA289" s="2">
        <f t="shared" si="118"/>
        <v>0</v>
      </c>
      <c r="BB289" s="2">
        <f t="shared" si="118"/>
        <v>0</v>
      </c>
      <c r="BC289" s="2">
        <f t="shared" si="118"/>
        <v>0</v>
      </c>
      <c r="BD289" s="2">
        <f t="shared" si="118"/>
        <v>0</v>
      </c>
      <c r="BE289" s="2"/>
      <c r="BF289" s="2"/>
      <c r="BG289" s="2"/>
      <c r="BH289" s="2"/>
      <c r="BI289" s="2"/>
      <c r="BJ289" s="2"/>
      <c r="BK289" s="2"/>
      <c r="BL289" s="2"/>
      <c r="BM289" s="2"/>
      <c r="BN289" s="2"/>
      <c r="BO289" s="2"/>
      <c r="BP289" s="2"/>
      <c r="BQ289" s="2"/>
      <c r="BR289" s="2"/>
      <c r="BS289" s="2"/>
      <c r="BT289" s="2"/>
      <c r="BU289" s="2"/>
      <c r="BV289" s="2"/>
      <c r="BW289" s="2"/>
      <c r="BX289" s="2"/>
      <c r="BY289" s="2"/>
      <c r="BZ289" s="2"/>
      <c r="CA289" s="2"/>
      <c r="CB289" s="2"/>
      <c r="CC289" s="2"/>
      <c r="CD289" s="2"/>
      <c r="CE289" s="2"/>
      <c r="CF289" s="2"/>
      <c r="CG289" s="2"/>
      <c r="CH289" s="2"/>
      <c r="CI289" s="2"/>
      <c r="CJ289" s="2"/>
      <c r="CK289" s="2"/>
      <c r="CL289" s="2"/>
      <c r="CM289" s="2"/>
      <c r="CN289" s="2"/>
      <c r="CO289" s="2"/>
      <c r="CP289" s="2"/>
      <c r="CQ289" s="2"/>
      <c r="CR289" s="2"/>
      <c r="CS289" s="2"/>
      <c r="CT289" s="2"/>
      <c r="CU289" s="2"/>
      <c r="CV289" s="2"/>
      <c r="CW289" s="2"/>
      <c r="CX289" s="2"/>
      <c r="CY289" s="2"/>
      <c r="CZ289" s="2"/>
      <c r="DA289" s="2"/>
      <c r="DB289" s="2"/>
      <c r="DC289" s="2"/>
      <c r="DD289" s="2"/>
      <c r="DE289" s="2"/>
      <c r="DF289" s="2"/>
      <c r="DG289" s="3"/>
      <c r="DH289" s="3"/>
      <c r="DI289" s="3"/>
      <c r="DJ289" s="3"/>
      <c r="DK289" s="3"/>
      <c r="DL289" s="3"/>
      <c r="DM289" s="3"/>
      <c r="DN289" s="3"/>
      <c r="DO289" s="3"/>
      <c r="DP289" s="3"/>
      <c r="DQ289" s="3"/>
      <c r="DR289" s="3"/>
      <c r="DS289" s="3"/>
      <c r="DT289" s="3"/>
      <c r="DU289" s="3"/>
      <c r="DV289" s="3"/>
      <c r="DW289" s="3"/>
      <c r="DX289" s="3"/>
      <c r="DY289" s="3"/>
      <c r="DZ289" s="3"/>
      <c r="EA289" s="3"/>
      <c r="EB289" s="3"/>
      <c r="EC289" s="3"/>
      <c r="ED289" s="3"/>
      <c r="EE289" s="3"/>
      <c r="EF289" s="3"/>
      <c r="EG289" s="3"/>
      <c r="EH289" s="3"/>
      <c r="EI289" s="3"/>
      <c r="EJ289" s="3"/>
      <c r="EK289" s="3"/>
      <c r="EL289" s="3"/>
      <c r="EM289" s="3"/>
      <c r="EN289" s="3"/>
      <c r="EO289" s="3"/>
      <c r="EP289" s="3"/>
      <c r="EQ289" s="3"/>
      <c r="ER289" s="3"/>
      <c r="ES289" s="3"/>
      <c r="ET289" s="3"/>
      <c r="EU289" s="3"/>
      <c r="EV289" s="3"/>
      <c r="EW289" s="3"/>
      <c r="EX289" s="3"/>
      <c r="EY289" s="3"/>
      <c r="EZ289" s="3"/>
      <c r="FA289" s="3"/>
      <c r="FB289" s="3"/>
      <c r="FC289" s="3"/>
      <c r="FD289" s="3"/>
      <c r="FE289" s="3"/>
      <c r="FF289" s="3"/>
      <c r="FG289" s="3"/>
      <c r="FH289" s="3"/>
      <c r="FI289" s="3"/>
      <c r="FJ289" s="3"/>
      <c r="FK289" s="3"/>
      <c r="FL289" s="3"/>
      <c r="FM289" s="3"/>
      <c r="FN289" s="3"/>
      <c r="FO289" s="3"/>
      <c r="FP289" s="3"/>
      <c r="FQ289" s="3"/>
      <c r="FR289" s="3"/>
      <c r="FS289" s="3"/>
      <c r="FT289" s="3"/>
      <c r="FU289" s="3"/>
      <c r="FV289" s="3"/>
      <c r="FW289" s="3"/>
      <c r="FX289" s="3"/>
      <c r="FY289" s="3"/>
      <c r="FZ289" s="3"/>
      <c r="GA289" s="3"/>
      <c r="GB289" s="3"/>
      <c r="GC289" s="3"/>
      <c r="GD289" s="3"/>
      <c r="GE289" s="3"/>
      <c r="GF289" s="3"/>
      <c r="GG289" s="3"/>
      <c r="GH289" s="3"/>
      <c r="GI289" s="3"/>
      <c r="GJ289" s="3"/>
      <c r="GK289" s="3"/>
      <c r="GL289" s="3"/>
      <c r="GM289" s="3"/>
      <c r="GN289" s="3"/>
      <c r="GO289" s="3"/>
      <c r="GP289" s="3"/>
      <c r="GQ289" s="3"/>
      <c r="GR289" s="3"/>
      <c r="GS289" s="3"/>
      <c r="GT289" s="3"/>
      <c r="GU289" s="3"/>
      <c r="GV289" s="3"/>
      <c r="GW289" s="3"/>
      <c r="GX289" s="3">
        <v>0</v>
      </c>
    </row>
    <row r="291" spans="1:206" x14ac:dyDescent="0.2">
      <c r="A291" s="4">
        <v>50</v>
      </c>
      <c r="B291" s="4">
        <v>0</v>
      </c>
      <c r="C291" s="4">
        <v>0</v>
      </c>
      <c r="D291" s="4">
        <v>1</v>
      </c>
      <c r="E291" s="4">
        <v>201</v>
      </c>
      <c r="F291" s="4">
        <f>ROUND(Source!O289,O291)</f>
        <v>7307779.3799999999</v>
      </c>
      <c r="G291" s="4" t="s">
        <v>17</v>
      </c>
      <c r="H291" s="4" t="s">
        <v>18</v>
      </c>
      <c r="I291" s="4"/>
      <c r="J291" s="4"/>
      <c r="K291" s="4">
        <v>201</v>
      </c>
      <c r="L291" s="4">
        <v>1</v>
      </c>
      <c r="M291" s="4">
        <v>3</v>
      </c>
      <c r="N291" s="4" t="s">
        <v>3</v>
      </c>
      <c r="O291" s="4">
        <v>2</v>
      </c>
      <c r="P291" s="4"/>
      <c r="Q291" s="4"/>
      <c r="R291" s="4"/>
      <c r="S291" s="4"/>
      <c r="T291" s="4"/>
      <c r="U291" s="4"/>
      <c r="V291" s="4"/>
      <c r="W291" s="4">
        <v>7307779.3799999999</v>
      </c>
      <c r="X291" s="4">
        <v>1</v>
      </c>
      <c r="Y291" s="4">
        <v>7307779.3799999999</v>
      </c>
      <c r="Z291" s="4"/>
      <c r="AA291" s="4"/>
      <c r="AB291" s="4"/>
    </row>
    <row r="292" spans="1:206" x14ac:dyDescent="0.2">
      <c r="A292" s="4">
        <v>50</v>
      </c>
      <c r="B292" s="4">
        <v>0</v>
      </c>
      <c r="C292" s="4">
        <v>0</v>
      </c>
      <c r="D292" s="4">
        <v>1</v>
      </c>
      <c r="E292" s="4">
        <v>202</v>
      </c>
      <c r="F292" s="4">
        <f>ROUND(Source!P289,O292)</f>
        <v>5713531.8099999996</v>
      </c>
      <c r="G292" s="4" t="s">
        <v>19</v>
      </c>
      <c r="H292" s="4" t="s">
        <v>20</v>
      </c>
      <c r="I292" s="4"/>
      <c r="J292" s="4"/>
      <c r="K292" s="4">
        <v>202</v>
      </c>
      <c r="L292" s="4">
        <v>2</v>
      </c>
      <c r="M292" s="4">
        <v>3</v>
      </c>
      <c r="N292" s="4" t="s">
        <v>3</v>
      </c>
      <c r="O292" s="4">
        <v>2</v>
      </c>
      <c r="P292" s="4"/>
      <c r="Q292" s="4"/>
      <c r="R292" s="4"/>
      <c r="S292" s="4"/>
      <c r="T292" s="4"/>
      <c r="U292" s="4"/>
      <c r="V292" s="4"/>
      <c r="W292" s="4">
        <v>5713531.8099999996</v>
      </c>
      <c r="X292" s="4">
        <v>1</v>
      </c>
      <c r="Y292" s="4">
        <v>5713531.8099999996</v>
      </c>
      <c r="Z292" s="4"/>
      <c r="AA292" s="4"/>
      <c r="AB292" s="4"/>
    </row>
    <row r="293" spans="1:206" x14ac:dyDescent="0.2">
      <c r="A293" s="4">
        <v>50</v>
      </c>
      <c r="B293" s="4">
        <v>0</v>
      </c>
      <c r="C293" s="4">
        <v>0</v>
      </c>
      <c r="D293" s="4">
        <v>1</v>
      </c>
      <c r="E293" s="4">
        <v>222</v>
      </c>
      <c r="F293" s="4">
        <f>ROUND(Source!AO289,O293)</f>
        <v>0</v>
      </c>
      <c r="G293" s="4" t="s">
        <v>21</v>
      </c>
      <c r="H293" s="4" t="s">
        <v>22</v>
      </c>
      <c r="I293" s="4"/>
      <c r="J293" s="4"/>
      <c r="K293" s="4">
        <v>222</v>
      </c>
      <c r="L293" s="4">
        <v>3</v>
      </c>
      <c r="M293" s="4">
        <v>3</v>
      </c>
      <c r="N293" s="4" t="s">
        <v>3</v>
      </c>
      <c r="O293" s="4">
        <v>2</v>
      </c>
      <c r="P293" s="4"/>
      <c r="Q293" s="4"/>
      <c r="R293" s="4"/>
      <c r="S293" s="4"/>
      <c r="T293" s="4"/>
      <c r="U293" s="4"/>
      <c r="V293" s="4"/>
      <c r="W293" s="4">
        <v>0</v>
      </c>
      <c r="X293" s="4">
        <v>1</v>
      </c>
      <c r="Y293" s="4">
        <v>0</v>
      </c>
      <c r="Z293" s="4"/>
      <c r="AA293" s="4"/>
      <c r="AB293" s="4"/>
    </row>
    <row r="294" spans="1:206" x14ac:dyDescent="0.2">
      <c r="A294" s="4">
        <v>50</v>
      </c>
      <c r="B294" s="4">
        <v>0</v>
      </c>
      <c r="C294" s="4">
        <v>0</v>
      </c>
      <c r="D294" s="4">
        <v>1</v>
      </c>
      <c r="E294" s="4">
        <v>225</v>
      </c>
      <c r="F294" s="4">
        <f>ROUND(Source!AV289,O294)</f>
        <v>5713531.8099999996</v>
      </c>
      <c r="G294" s="4" t="s">
        <v>23</v>
      </c>
      <c r="H294" s="4" t="s">
        <v>24</v>
      </c>
      <c r="I294" s="4"/>
      <c r="J294" s="4"/>
      <c r="K294" s="4">
        <v>225</v>
      </c>
      <c r="L294" s="4">
        <v>4</v>
      </c>
      <c r="M294" s="4">
        <v>3</v>
      </c>
      <c r="N294" s="4" t="s">
        <v>3</v>
      </c>
      <c r="O294" s="4">
        <v>2</v>
      </c>
      <c r="P294" s="4"/>
      <c r="Q294" s="4"/>
      <c r="R294" s="4"/>
      <c r="S294" s="4"/>
      <c r="T294" s="4"/>
      <c r="U294" s="4"/>
      <c r="V294" s="4"/>
      <c r="W294" s="4">
        <v>5713531.8099999996</v>
      </c>
      <c r="X294" s="4">
        <v>1</v>
      </c>
      <c r="Y294" s="4">
        <v>5713531.8099999996</v>
      </c>
      <c r="Z294" s="4"/>
      <c r="AA294" s="4"/>
      <c r="AB294" s="4"/>
    </row>
    <row r="295" spans="1:206" x14ac:dyDescent="0.2">
      <c r="A295" s="4">
        <v>50</v>
      </c>
      <c r="B295" s="4">
        <v>0</v>
      </c>
      <c r="C295" s="4">
        <v>0</v>
      </c>
      <c r="D295" s="4">
        <v>1</v>
      </c>
      <c r="E295" s="4">
        <v>226</v>
      </c>
      <c r="F295" s="4">
        <f>ROUND(Source!AW289,O295)</f>
        <v>5713531.8099999996</v>
      </c>
      <c r="G295" s="4" t="s">
        <v>25</v>
      </c>
      <c r="H295" s="4" t="s">
        <v>26</v>
      </c>
      <c r="I295" s="4"/>
      <c r="J295" s="4"/>
      <c r="K295" s="4">
        <v>226</v>
      </c>
      <c r="L295" s="4">
        <v>5</v>
      </c>
      <c r="M295" s="4">
        <v>3</v>
      </c>
      <c r="N295" s="4" t="s">
        <v>3</v>
      </c>
      <c r="O295" s="4">
        <v>2</v>
      </c>
      <c r="P295" s="4"/>
      <c r="Q295" s="4"/>
      <c r="R295" s="4"/>
      <c r="S295" s="4"/>
      <c r="T295" s="4"/>
      <c r="U295" s="4"/>
      <c r="V295" s="4"/>
      <c r="W295" s="4">
        <v>5713531.8099999996</v>
      </c>
      <c r="X295" s="4">
        <v>1</v>
      </c>
      <c r="Y295" s="4">
        <v>5713531.8099999996</v>
      </c>
      <c r="Z295" s="4"/>
      <c r="AA295" s="4"/>
      <c r="AB295" s="4"/>
    </row>
    <row r="296" spans="1:206" x14ac:dyDescent="0.2">
      <c r="A296" s="4">
        <v>50</v>
      </c>
      <c r="B296" s="4">
        <v>0</v>
      </c>
      <c r="C296" s="4">
        <v>0</v>
      </c>
      <c r="D296" s="4">
        <v>1</v>
      </c>
      <c r="E296" s="4">
        <v>227</v>
      </c>
      <c r="F296" s="4">
        <f>ROUND(Source!AX289,O296)</f>
        <v>0</v>
      </c>
      <c r="G296" s="4" t="s">
        <v>27</v>
      </c>
      <c r="H296" s="4" t="s">
        <v>28</v>
      </c>
      <c r="I296" s="4"/>
      <c r="J296" s="4"/>
      <c r="K296" s="4">
        <v>227</v>
      </c>
      <c r="L296" s="4">
        <v>6</v>
      </c>
      <c r="M296" s="4">
        <v>3</v>
      </c>
      <c r="N296" s="4" t="s">
        <v>3</v>
      </c>
      <c r="O296" s="4">
        <v>2</v>
      </c>
      <c r="P296" s="4"/>
      <c r="Q296" s="4"/>
      <c r="R296" s="4"/>
      <c r="S296" s="4"/>
      <c r="T296" s="4"/>
      <c r="U296" s="4"/>
      <c r="V296" s="4"/>
      <c r="W296" s="4">
        <v>0</v>
      </c>
      <c r="X296" s="4">
        <v>1</v>
      </c>
      <c r="Y296" s="4">
        <v>0</v>
      </c>
      <c r="Z296" s="4"/>
      <c r="AA296" s="4"/>
      <c r="AB296" s="4"/>
    </row>
    <row r="297" spans="1:206" x14ac:dyDescent="0.2">
      <c r="A297" s="4">
        <v>50</v>
      </c>
      <c r="B297" s="4">
        <v>0</v>
      </c>
      <c r="C297" s="4">
        <v>0</v>
      </c>
      <c r="D297" s="4">
        <v>1</v>
      </c>
      <c r="E297" s="4">
        <v>228</v>
      </c>
      <c r="F297" s="4">
        <f>ROUND(Source!AY289,O297)</f>
        <v>5713531.8099999996</v>
      </c>
      <c r="G297" s="4" t="s">
        <v>29</v>
      </c>
      <c r="H297" s="4" t="s">
        <v>30</v>
      </c>
      <c r="I297" s="4"/>
      <c r="J297" s="4"/>
      <c r="K297" s="4">
        <v>228</v>
      </c>
      <c r="L297" s="4">
        <v>7</v>
      </c>
      <c r="M297" s="4">
        <v>3</v>
      </c>
      <c r="N297" s="4" t="s">
        <v>3</v>
      </c>
      <c r="O297" s="4">
        <v>2</v>
      </c>
      <c r="P297" s="4"/>
      <c r="Q297" s="4"/>
      <c r="R297" s="4"/>
      <c r="S297" s="4"/>
      <c r="T297" s="4"/>
      <c r="U297" s="4"/>
      <c r="V297" s="4"/>
      <c r="W297" s="4">
        <v>5713531.8099999996</v>
      </c>
      <c r="X297" s="4">
        <v>1</v>
      </c>
      <c r="Y297" s="4">
        <v>5713531.8099999996</v>
      </c>
      <c r="Z297" s="4"/>
      <c r="AA297" s="4"/>
      <c r="AB297" s="4"/>
    </row>
    <row r="298" spans="1:206" x14ac:dyDescent="0.2">
      <c r="A298" s="4">
        <v>50</v>
      </c>
      <c r="B298" s="4">
        <v>0</v>
      </c>
      <c r="C298" s="4">
        <v>0</v>
      </c>
      <c r="D298" s="4">
        <v>1</v>
      </c>
      <c r="E298" s="4">
        <v>216</v>
      </c>
      <c r="F298" s="4">
        <f>ROUND(Source!AP289,O298)</f>
        <v>0</v>
      </c>
      <c r="G298" s="4" t="s">
        <v>31</v>
      </c>
      <c r="H298" s="4" t="s">
        <v>32</v>
      </c>
      <c r="I298" s="4"/>
      <c r="J298" s="4"/>
      <c r="K298" s="4">
        <v>216</v>
      </c>
      <c r="L298" s="4">
        <v>8</v>
      </c>
      <c r="M298" s="4">
        <v>3</v>
      </c>
      <c r="N298" s="4" t="s">
        <v>3</v>
      </c>
      <c r="O298" s="4">
        <v>2</v>
      </c>
      <c r="P298" s="4"/>
      <c r="Q298" s="4"/>
      <c r="R298" s="4"/>
      <c r="S298" s="4"/>
      <c r="T298" s="4"/>
      <c r="U298" s="4"/>
      <c r="V298" s="4"/>
      <c r="W298" s="4">
        <v>0</v>
      </c>
      <c r="X298" s="4">
        <v>1</v>
      </c>
      <c r="Y298" s="4">
        <v>0</v>
      </c>
      <c r="Z298" s="4"/>
      <c r="AA298" s="4"/>
      <c r="AB298" s="4"/>
    </row>
    <row r="299" spans="1:206" x14ac:dyDescent="0.2">
      <c r="A299" s="4">
        <v>50</v>
      </c>
      <c r="B299" s="4">
        <v>0</v>
      </c>
      <c r="C299" s="4">
        <v>0</v>
      </c>
      <c r="D299" s="4">
        <v>1</v>
      </c>
      <c r="E299" s="4">
        <v>223</v>
      </c>
      <c r="F299" s="4">
        <f>ROUND(Source!AQ289,O299)</f>
        <v>0</v>
      </c>
      <c r="G299" s="4" t="s">
        <v>33</v>
      </c>
      <c r="H299" s="4" t="s">
        <v>34</v>
      </c>
      <c r="I299" s="4"/>
      <c r="J299" s="4"/>
      <c r="K299" s="4">
        <v>223</v>
      </c>
      <c r="L299" s="4">
        <v>9</v>
      </c>
      <c r="M299" s="4">
        <v>3</v>
      </c>
      <c r="N299" s="4" t="s">
        <v>3</v>
      </c>
      <c r="O299" s="4">
        <v>2</v>
      </c>
      <c r="P299" s="4"/>
      <c r="Q299" s="4"/>
      <c r="R299" s="4"/>
      <c r="S299" s="4"/>
      <c r="T299" s="4"/>
      <c r="U299" s="4"/>
      <c r="V299" s="4"/>
      <c r="W299" s="4">
        <v>0</v>
      </c>
      <c r="X299" s="4">
        <v>1</v>
      </c>
      <c r="Y299" s="4">
        <v>0</v>
      </c>
      <c r="Z299" s="4"/>
      <c r="AA299" s="4"/>
      <c r="AB299" s="4"/>
    </row>
    <row r="300" spans="1:206" x14ac:dyDescent="0.2">
      <c r="A300" s="4">
        <v>50</v>
      </c>
      <c r="B300" s="4">
        <v>0</v>
      </c>
      <c r="C300" s="4">
        <v>0</v>
      </c>
      <c r="D300" s="4">
        <v>1</v>
      </c>
      <c r="E300" s="4">
        <v>229</v>
      </c>
      <c r="F300" s="4">
        <f>ROUND(Source!AZ289,O300)</f>
        <v>0</v>
      </c>
      <c r="G300" s="4" t="s">
        <v>35</v>
      </c>
      <c r="H300" s="4" t="s">
        <v>36</v>
      </c>
      <c r="I300" s="4"/>
      <c r="J300" s="4"/>
      <c r="K300" s="4">
        <v>229</v>
      </c>
      <c r="L300" s="4">
        <v>10</v>
      </c>
      <c r="M300" s="4">
        <v>3</v>
      </c>
      <c r="N300" s="4" t="s">
        <v>3</v>
      </c>
      <c r="O300" s="4">
        <v>2</v>
      </c>
      <c r="P300" s="4"/>
      <c r="Q300" s="4"/>
      <c r="R300" s="4"/>
      <c r="S300" s="4"/>
      <c r="T300" s="4"/>
      <c r="U300" s="4"/>
      <c r="V300" s="4"/>
      <c r="W300" s="4">
        <v>0</v>
      </c>
      <c r="X300" s="4">
        <v>1</v>
      </c>
      <c r="Y300" s="4">
        <v>0</v>
      </c>
      <c r="Z300" s="4"/>
      <c r="AA300" s="4"/>
      <c r="AB300" s="4"/>
    </row>
    <row r="301" spans="1:206" x14ac:dyDescent="0.2">
      <c r="A301" s="4">
        <v>50</v>
      </c>
      <c r="B301" s="4">
        <v>0</v>
      </c>
      <c r="C301" s="4">
        <v>0</v>
      </c>
      <c r="D301" s="4">
        <v>1</v>
      </c>
      <c r="E301" s="4">
        <v>203</v>
      </c>
      <c r="F301" s="4">
        <f>ROUND(Source!Q289,O301)</f>
        <v>156985.06</v>
      </c>
      <c r="G301" s="4" t="s">
        <v>37</v>
      </c>
      <c r="H301" s="4" t="s">
        <v>38</v>
      </c>
      <c r="I301" s="4"/>
      <c r="J301" s="4"/>
      <c r="K301" s="4">
        <v>203</v>
      </c>
      <c r="L301" s="4">
        <v>11</v>
      </c>
      <c r="M301" s="4">
        <v>3</v>
      </c>
      <c r="N301" s="4" t="s">
        <v>3</v>
      </c>
      <c r="O301" s="4">
        <v>2</v>
      </c>
      <c r="P301" s="4"/>
      <c r="Q301" s="4"/>
      <c r="R301" s="4"/>
      <c r="S301" s="4"/>
      <c r="T301" s="4"/>
      <c r="U301" s="4"/>
      <c r="V301" s="4"/>
      <c r="W301" s="4">
        <v>156985.06</v>
      </c>
      <c r="X301" s="4">
        <v>1</v>
      </c>
      <c r="Y301" s="4">
        <v>156985.06</v>
      </c>
      <c r="Z301" s="4"/>
      <c r="AA301" s="4"/>
      <c r="AB301" s="4"/>
    </row>
    <row r="302" spans="1:206" x14ac:dyDescent="0.2">
      <c r="A302" s="4">
        <v>50</v>
      </c>
      <c r="B302" s="4">
        <v>0</v>
      </c>
      <c r="C302" s="4">
        <v>0</v>
      </c>
      <c r="D302" s="4">
        <v>1</v>
      </c>
      <c r="E302" s="4">
        <v>231</v>
      </c>
      <c r="F302" s="4">
        <f>ROUND(Source!BB289,O302)</f>
        <v>0</v>
      </c>
      <c r="G302" s="4" t="s">
        <v>39</v>
      </c>
      <c r="H302" s="4" t="s">
        <v>40</v>
      </c>
      <c r="I302" s="4"/>
      <c r="J302" s="4"/>
      <c r="K302" s="4">
        <v>231</v>
      </c>
      <c r="L302" s="4">
        <v>12</v>
      </c>
      <c r="M302" s="4">
        <v>3</v>
      </c>
      <c r="N302" s="4" t="s">
        <v>3</v>
      </c>
      <c r="O302" s="4">
        <v>2</v>
      </c>
      <c r="P302" s="4"/>
      <c r="Q302" s="4"/>
      <c r="R302" s="4"/>
      <c r="S302" s="4"/>
      <c r="T302" s="4"/>
      <c r="U302" s="4"/>
      <c r="V302" s="4"/>
      <c r="W302" s="4">
        <v>0</v>
      </c>
      <c r="X302" s="4">
        <v>1</v>
      </c>
      <c r="Y302" s="4">
        <v>0</v>
      </c>
      <c r="Z302" s="4"/>
      <c r="AA302" s="4"/>
      <c r="AB302" s="4"/>
    </row>
    <row r="303" spans="1:206" x14ac:dyDescent="0.2">
      <c r="A303" s="4">
        <v>50</v>
      </c>
      <c r="B303" s="4">
        <v>0</v>
      </c>
      <c r="C303" s="4">
        <v>0</v>
      </c>
      <c r="D303" s="4">
        <v>1</v>
      </c>
      <c r="E303" s="4">
        <v>204</v>
      </c>
      <c r="F303" s="4">
        <f>ROUND(Source!R289,O303)</f>
        <v>90692.11</v>
      </c>
      <c r="G303" s="4" t="s">
        <v>41</v>
      </c>
      <c r="H303" s="4" t="s">
        <v>42</v>
      </c>
      <c r="I303" s="4"/>
      <c r="J303" s="4"/>
      <c r="K303" s="4">
        <v>204</v>
      </c>
      <c r="L303" s="4">
        <v>13</v>
      </c>
      <c r="M303" s="4">
        <v>3</v>
      </c>
      <c r="N303" s="4" t="s">
        <v>3</v>
      </c>
      <c r="O303" s="4">
        <v>2</v>
      </c>
      <c r="P303" s="4"/>
      <c r="Q303" s="4"/>
      <c r="R303" s="4"/>
      <c r="S303" s="4"/>
      <c r="T303" s="4"/>
      <c r="U303" s="4"/>
      <c r="V303" s="4"/>
      <c r="W303" s="4">
        <v>90692.11</v>
      </c>
      <c r="X303" s="4">
        <v>1</v>
      </c>
      <c r="Y303" s="4">
        <v>90692.11</v>
      </c>
      <c r="Z303" s="4"/>
      <c r="AA303" s="4"/>
      <c r="AB303" s="4"/>
    </row>
    <row r="304" spans="1:206" x14ac:dyDescent="0.2">
      <c r="A304" s="4">
        <v>50</v>
      </c>
      <c r="B304" s="4">
        <v>0</v>
      </c>
      <c r="C304" s="4">
        <v>0</v>
      </c>
      <c r="D304" s="4">
        <v>1</v>
      </c>
      <c r="E304" s="4">
        <v>205</v>
      </c>
      <c r="F304" s="4">
        <f>ROUND(Source!S289,O304)</f>
        <v>1346570.4</v>
      </c>
      <c r="G304" s="4" t="s">
        <v>43</v>
      </c>
      <c r="H304" s="4" t="s">
        <v>44</v>
      </c>
      <c r="I304" s="4"/>
      <c r="J304" s="4"/>
      <c r="K304" s="4">
        <v>205</v>
      </c>
      <c r="L304" s="4">
        <v>14</v>
      </c>
      <c r="M304" s="4">
        <v>3</v>
      </c>
      <c r="N304" s="4" t="s">
        <v>3</v>
      </c>
      <c r="O304" s="4">
        <v>2</v>
      </c>
      <c r="P304" s="4"/>
      <c r="Q304" s="4"/>
      <c r="R304" s="4"/>
      <c r="S304" s="4"/>
      <c r="T304" s="4"/>
      <c r="U304" s="4"/>
      <c r="V304" s="4"/>
      <c r="W304" s="4">
        <v>1346570.4000000004</v>
      </c>
      <c r="X304" s="4">
        <v>1</v>
      </c>
      <c r="Y304" s="4">
        <v>1346570.4000000004</v>
      </c>
      <c r="Z304" s="4"/>
      <c r="AA304" s="4"/>
      <c r="AB304" s="4"/>
    </row>
    <row r="305" spans="1:28" x14ac:dyDescent="0.2">
      <c r="A305" s="4">
        <v>50</v>
      </c>
      <c r="B305" s="4">
        <v>0</v>
      </c>
      <c r="C305" s="4">
        <v>0</v>
      </c>
      <c r="D305" s="4">
        <v>1</v>
      </c>
      <c r="E305" s="4">
        <v>232</v>
      </c>
      <c r="F305" s="4">
        <f>ROUND(Source!BC289,O305)</f>
        <v>0</v>
      </c>
      <c r="G305" s="4" t="s">
        <v>45</v>
      </c>
      <c r="H305" s="4" t="s">
        <v>46</v>
      </c>
      <c r="I305" s="4"/>
      <c r="J305" s="4"/>
      <c r="K305" s="4">
        <v>232</v>
      </c>
      <c r="L305" s="4">
        <v>15</v>
      </c>
      <c r="M305" s="4">
        <v>3</v>
      </c>
      <c r="N305" s="4" t="s">
        <v>3</v>
      </c>
      <c r="O305" s="4">
        <v>2</v>
      </c>
      <c r="P305" s="4"/>
      <c r="Q305" s="4"/>
      <c r="R305" s="4"/>
      <c r="S305" s="4"/>
      <c r="T305" s="4"/>
      <c r="U305" s="4"/>
      <c r="V305" s="4"/>
      <c r="W305" s="4">
        <v>0</v>
      </c>
      <c r="X305" s="4">
        <v>1</v>
      </c>
      <c r="Y305" s="4">
        <v>0</v>
      </c>
      <c r="Z305" s="4"/>
      <c r="AA305" s="4"/>
      <c r="AB305" s="4"/>
    </row>
    <row r="306" spans="1:28" x14ac:dyDescent="0.2">
      <c r="A306" s="4">
        <v>50</v>
      </c>
      <c r="B306" s="4">
        <v>0</v>
      </c>
      <c r="C306" s="4">
        <v>0</v>
      </c>
      <c r="D306" s="4">
        <v>1</v>
      </c>
      <c r="E306" s="4">
        <v>214</v>
      </c>
      <c r="F306" s="4">
        <f>ROUND(Source!AS289,O306)</f>
        <v>2703224.14</v>
      </c>
      <c r="G306" s="4" t="s">
        <v>47</v>
      </c>
      <c r="H306" s="4" t="s">
        <v>48</v>
      </c>
      <c r="I306" s="4"/>
      <c r="J306" s="4"/>
      <c r="K306" s="4">
        <v>214</v>
      </c>
      <c r="L306" s="4">
        <v>16</v>
      </c>
      <c r="M306" s="4">
        <v>3</v>
      </c>
      <c r="N306" s="4" t="s">
        <v>3</v>
      </c>
      <c r="O306" s="4">
        <v>2</v>
      </c>
      <c r="P306" s="4"/>
      <c r="Q306" s="4"/>
      <c r="R306" s="4"/>
      <c r="S306" s="4"/>
      <c r="T306" s="4"/>
      <c r="U306" s="4"/>
      <c r="V306" s="4"/>
      <c r="W306" s="4">
        <v>2703224.14</v>
      </c>
      <c r="X306" s="4">
        <v>1</v>
      </c>
      <c r="Y306" s="4">
        <v>2703224.14</v>
      </c>
      <c r="Z306" s="4"/>
      <c r="AA306" s="4"/>
      <c r="AB306" s="4"/>
    </row>
    <row r="307" spans="1:28" x14ac:dyDescent="0.2">
      <c r="A307" s="4">
        <v>50</v>
      </c>
      <c r="B307" s="4">
        <v>0</v>
      </c>
      <c r="C307" s="4">
        <v>0</v>
      </c>
      <c r="D307" s="4">
        <v>1</v>
      </c>
      <c r="E307" s="4">
        <v>215</v>
      </c>
      <c r="F307" s="4">
        <f>ROUND(Source!AT289,O307)</f>
        <v>6633851.7999999998</v>
      </c>
      <c r="G307" s="4" t="s">
        <v>49</v>
      </c>
      <c r="H307" s="4" t="s">
        <v>50</v>
      </c>
      <c r="I307" s="4"/>
      <c r="J307" s="4"/>
      <c r="K307" s="4">
        <v>215</v>
      </c>
      <c r="L307" s="4">
        <v>17</v>
      </c>
      <c r="M307" s="4">
        <v>3</v>
      </c>
      <c r="N307" s="4" t="s">
        <v>3</v>
      </c>
      <c r="O307" s="4">
        <v>2</v>
      </c>
      <c r="P307" s="4"/>
      <c r="Q307" s="4"/>
      <c r="R307" s="4"/>
      <c r="S307" s="4"/>
      <c r="T307" s="4"/>
      <c r="U307" s="4"/>
      <c r="V307" s="4"/>
      <c r="W307" s="4">
        <v>6633851.7999999998</v>
      </c>
      <c r="X307" s="4">
        <v>1</v>
      </c>
      <c r="Y307" s="4">
        <v>6633851.7999999998</v>
      </c>
      <c r="Z307" s="4"/>
      <c r="AA307" s="4"/>
      <c r="AB307" s="4"/>
    </row>
    <row r="308" spans="1:28" x14ac:dyDescent="0.2">
      <c r="A308" s="4">
        <v>50</v>
      </c>
      <c r="B308" s="4">
        <v>0</v>
      </c>
      <c r="C308" s="4">
        <v>0</v>
      </c>
      <c r="D308" s="4">
        <v>1</v>
      </c>
      <c r="E308" s="4">
        <v>217</v>
      </c>
      <c r="F308" s="4">
        <f>ROUND(Source!AU289,O308)</f>
        <v>30737.279999999999</v>
      </c>
      <c r="G308" s="4" t="s">
        <v>51</v>
      </c>
      <c r="H308" s="4" t="s">
        <v>52</v>
      </c>
      <c r="I308" s="4"/>
      <c r="J308" s="4"/>
      <c r="K308" s="4">
        <v>217</v>
      </c>
      <c r="L308" s="4">
        <v>18</v>
      </c>
      <c r="M308" s="4">
        <v>3</v>
      </c>
      <c r="N308" s="4" t="s">
        <v>3</v>
      </c>
      <c r="O308" s="4">
        <v>2</v>
      </c>
      <c r="P308" s="4"/>
      <c r="Q308" s="4"/>
      <c r="R308" s="4"/>
      <c r="S308" s="4"/>
      <c r="T308" s="4"/>
      <c r="U308" s="4"/>
      <c r="V308" s="4"/>
      <c r="W308" s="4">
        <v>30737.279999999999</v>
      </c>
      <c r="X308" s="4">
        <v>1</v>
      </c>
      <c r="Y308" s="4">
        <v>30737.279999999999</v>
      </c>
      <c r="Z308" s="4"/>
      <c r="AA308" s="4"/>
      <c r="AB308" s="4"/>
    </row>
    <row r="309" spans="1:28" x14ac:dyDescent="0.2">
      <c r="A309" s="4">
        <v>50</v>
      </c>
      <c r="B309" s="4">
        <v>0</v>
      </c>
      <c r="C309" s="4">
        <v>0</v>
      </c>
      <c r="D309" s="4">
        <v>1</v>
      </c>
      <c r="E309" s="4">
        <v>230</v>
      </c>
      <c r="F309" s="4">
        <f>ROUND(Source!BA289,O309)</f>
        <v>0</v>
      </c>
      <c r="G309" s="4" t="s">
        <v>53</v>
      </c>
      <c r="H309" s="4" t="s">
        <v>54</v>
      </c>
      <c r="I309" s="4"/>
      <c r="J309" s="4"/>
      <c r="K309" s="4">
        <v>230</v>
      </c>
      <c r="L309" s="4">
        <v>19</v>
      </c>
      <c r="M309" s="4">
        <v>3</v>
      </c>
      <c r="N309" s="4" t="s">
        <v>3</v>
      </c>
      <c r="O309" s="4">
        <v>2</v>
      </c>
      <c r="P309" s="4"/>
      <c r="Q309" s="4"/>
      <c r="R309" s="4"/>
      <c r="S309" s="4"/>
      <c r="T309" s="4"/>
      <c r="U309" s="4"/>
      <c r="V309" s="4"/>
      <c r="W309" s="4">
        <v>0</v>
      </c>
      <c r="X309" s="4">
        <v>1</v>
      </c>
      <c r="Y309" s="4">
        <v>0</v>
      </c>
      <c r="Z309" s="4"/>
      <c r="AA309" s="4"/>
      <c r="AB309" s="4"/>
    </row>
    <row r="310" spans="1:28" x14ac:dyDescent="0.2">
      <c r="A310" s="4">
        <v>50</v>
      </c>
      <c r="B310" s="4">
        <v>0</v>
      </c>
      <c r="C310" s="4">
        <v>0</v>
      </c>
      <c r="D310" s="4">
        <v>1</v>
      </c>
      <c r="E310" s="4">
        <v>206</v>
      </c>
      <c r="F310" s="4">
        <f>ROUND(Source!T289,O310)</f>
        <v>0</v>
      </c>
      <c r="G310" s="4" t="s">
        <v>55</v>
      </c>
      <c r="H310" s="4" t="s">
        <v>56</v>
      </c>
      <c r="I310" s="4"/>
      <c r="J310" s="4"/>
      <c r="K310" s="4">
        <v>206</v>
      </c>
      <c r="L310" s="4">
        <v>20</v>
      </c>
      <c r="M310" s="4">
        <v>3</v>
      </c>
      <c r="N310" s="4" t="s">
        <v>3</v>
      </c>
      <c r="O310" s="4">
        <v>2</v>
      </c>
      <c r="P310" s="4"/>
      <c r="Q310" s="4"/>
      <c r="R310" s="4"/>
      <c r="S310" s="4"/>
      <c r="T310" s="4"/>
      <c r="U310" s="4"/>
      <c r="V310" s="4"/>
      <c r="W310" s="4">
        <v>0</v>
      </c>
      <c r="X310" s="4">
        <v>1</v>
      </c>
      <c r="Y310" s="4">
        <v>0</v>
      </c>
      <c r="Z310" s="4"/>
      <c r="AA310" s="4"/>
      <c r="AB310" s="4"/>
    </row>
    <row r="311" spans="1:28" x14ac:dyDescent="0.2">
      <c r="A311" s="4">
        <v>50</v>
      </c>
      <c r="B311" s="4">
        <v>0</v>
      </c>
      <c r="C311" s="4">
        <v>0</v>
      </c>
      <c r="D311" s="4">
        <v>1</v>
      </c>
      <c r="E311" s="4">
        <v>207</v>
      </c>
      <c r="F311" s="4">
        <f>ROUND(Source!U289,O311)</f>
        <v>3215.768</v>
      </c>
      <c r="G311" s="4" t="s">
        <v>57</v>
      </c>
      <c r="H311" s="4" t="s">
        <v>58</v>
      </c>
      <c r="I311" s="4"/>
      <c r="J311" s="4"/>
      <c r="K311" s="4">
        <v>207</v>
      </c>
      <c r="L311" s="4">
        <v>21</v>
      </c>
      <c r="M311" s="4">
        <v>3</v>
      </c>
      <c r="N311" s="4" t="s">
        <v>3</v>
      </c>
      <c r="O311" s="4">
        <v>7</v>
      </c>
      <c r="P311" s="4"/>
      <c r="Q311" s="4"/>
      <c r="R311" s="4"/>
      <c r="S311" s="4"/>
      <c r="T311" s="4"/>
      <c r="U311" s="4"/>
      <c r="V311" s="4"/>
      <c r="W311" s="4">
        <v>3215.768</v>
      </c>
      <c r="X311" s="4">
        <v>1</v>
      </c>
      <c r="Y311" s="4">
        <v>3215.768</v>
      </c>
      <c r="Z311" s="4"/>
      <c r="AA311" s="4"/>
      <c r="AB311" s="4"/>
    </row>
    <row r="312" spans="1:28" x14ac:dyDescent="0.2">
      <c r="A312" s="4">
        <v>50</v>
      </c>
      <c r="B312" s="4">
        <v>0</v>
      </c>
      <c r="C312" s="4">
        <v>0</v>
      </c>
      <c r="D312" s="4">
        <v>1</v>
      </c>
      <c r="E312" s="4">
        <v>208</v>
      </c>
      <c r="F312" s="4">
        <f>ROUND(Source!V289,O312)</f>
        <v>169.30080000000001</v>
      </c>
      <c r="G312" s="4" t="s">
        <v>59</v>
      </c>
      <c r="H312" s="4" t="s">
        <v>60</v>
      </c>
      <c r="I312" s="4"/>
      <c r="J312" s="4"/>
      <c r="K312" s="4">
        <v>208</v>
      </c>
      <c r="L312" s="4">
        <v>22</v>
      </c>
      <c r="M312" s="4">
        <v>3</v>
      </c>
      <c r="N312" s="4" t="s">
        <v>3</v>
      </c>
      <c r="O312" s="4">
        <v>7</v>
      </c>
      <c r="P312" s="4"/>
      <c r="Q312" s="4"/>
      <c r="R312" s="4"/>
      <c r="S312" s="4"/>
      <c r="T312" s="4"/>
      <c r="U312" s="4"/>
      <c r="V312" s="4"/>
      <c r="W312" s="4">
        <v>169.30080000000001</v>
      </c>
      <c r="X312" s="4">
        <v>1</v>
      </c>
      <c r="Y312" s="4">
        <v>169.30080000000001</v>
      </c>
      <c r="Z312" s="4"/>
      <c r="AA312" s="4"/>
      <c r="AB312" s="4"/>
    </row>
    <row r="313" spans="1:28" x14ac:dyDescent="0.2">
      <c r="A313" s="4">
        <v>50</v>
      </c>
      <c r="B313" s="4">
        <v>0</v>
      </c>
      <c r="C313" s="4">
        <v>0</v>
      </c>
      <c r="D313" s="4">
        <v>1</v>
      </c>
      <c r="E313" s="4">
        <v>209</v>
      </c>
      <c r="F313" s="4">
        <f>ROUND(Source!W289,O313)</f>
        <v>0</v>
      </c>
      <c r="G313" s="4" t="s">
        <v>61</v>
      </c>
      <c r="H313" s="4" t="s">
        <v>62</v>
      </c>
      <c r="I313" s="4"/>
      <c r="J313" s="4"/>
      <c r="K313" s="4">
        <v>209</v>
      </c>
      <c r="L313" s="4">
        <v>23</v>
      </c>
      <c r="M313" s="4">
        <v>3</v>
      </c>
      <c r="N313" s="4" t="s">
        <v>3</v>
      </c>
      <c r="O313" s="4">
        <v>2</v>
      </c>
      <c r="P313" s="4"/>
      <c r="Q313" s="4"/>
      <c r="R313" s="4"/>
      <c r="S313" s="4"/>
      <c r="T313" s="4"/>
      <c r="U313" s="4"/>
      <c r="V313" s="4"/>
      <c r="W313" s="4">
        <v>0</v>
      </c>
      <c r="X313" s="4">
        <v>1</v>
      </c>
      <c r="Y313" s="4">
        <v>0</v>
      </c>
      <c r="Z313" s="4"/>
      <c r="AA313" s="4"/>
      <c r="AB313" s="4"/>
    </row>
    <row r="314" spans="1:28" x14ac:dyDescent="0.2">
      <c r="A314" s="4">
        <v>50</v>
      </c>
      <c r="B314" s="4">
        <v>0</v>
      </c>
      <c r="C314" s="4">
        <v>0</v>
      </c>
      <c r="D314" s="4">
        <v>1</v>
      </c>
      <c r="E314" s="4">
        <v>233</v>
      </c>
      <c r="F314" s="4">
        <f>ROUND(Source!BD289,O314)</f>
        <v>0</v>
      </c>
      <c r="G314" s="4" t="s">
        <v>63</v>
      </c>
      <c r="H314" s="4" t="s">
        <v>64</v>
      </c>
      <c r="I314" s="4"/>
      <c r="J314" s="4"/>
      <c r="K314" s="4">
        <v>233</v>
      </c>
      <c r="L314" s="4">
        <v>24</v>
      </c>
      <c r="M314" s="4">
        <v>3</v>
      </c>
      <c r="N314" s="4" t="s">
        <v>3</v>
      </c>
      <c r="O314" s="4">
        <v>2</v>
      </c>
      <c r="P314" s="4"/>
      <c r="Q314" s="4"/>
      <c r="R314" s="4"/>
      <c r="S314" s="4"/>
      <c r="T314" s="4"/>
      <c r="U314" s="4"/>
      <c r="V314" s="4"/>
      <c r="W314" s="4">
        <v>0</v>
      </c>
      <c r="X314" s="4">
        <v>1</v>
      </c>
      <c r="Y314" s="4">
        <v>0</v>
      </c>
      <c r="Z314" s="4"/>
      <c r="AA314" s="4"/>
      <c r="AB314" s="4"/>
    </row>
    <row r="315" spans="1:28" x14ac:dyDescent="0.2">
      <c r="A315" s="4">
        <v>50</v>
      </c>
      <c r="B315" s="4">
        <v>0</v>
      </c>
      <c r="C315" s="4">
        <v>0</v>
      </c>
      <c r="D315" s="4">
        <v>1</v>
      </c>
      <c r="E315" s="4">
        <v>210</v>
      </c>
      <c r="F315" s="4">
        <f>ROUND(Source!X289,O315)</f>
        <v>1351270.59</v>
      </c>
      <c r="G315" s="4" t="s">
        <v>65</v>
      </c>
      <c r="H315" s="4" t="s">
        <v>66</v>
      </c>
      <c r="I315" s="4"/>
      <c r="J315" s="4"/>
      <c r="K315" s="4">
        <v>210</v>
      </c>
      <c r="L315" s="4">
        <v>25</v>
      </c>
      <c r="M315" s="4">
        <v>3</v>
      </c>
      <c r="N315" s="4" t="s">
        <v>3</v>
      </c>
      <c r="O315" s="4">
        <v>2</v>
      </c>
      <c r="P315" s="4"/>
      <c r="Q315" s="4"/>
      <c r="R315" s="4"/>
      <c r="S315" s="4"/>
      <c r="T315" s="4"/>
      <c r="U315" s="4"/>
      <c r="V315" s="4"/>
      <c r="W315" s="4">
        <v>1351270.59</v>
      </c>
      <c r="X315" s="4">
        <v>1</v>
      </c>
      <c r="Y315" s="4">
        <v>1351270.59</v>
      </c>
      <c r="Z315" s="4"/>
      <c r="AA315" s="4"/>
      <c r="AB315" s="4"/>
    </row>
    <row r="316" spans="1:28" x14ac:dyDescent="0.2">
      <c r="A316" s="4">
        <v>50</v>
      </c>
      <c r="B316" s="4">
        <v>0</v>
      </c>
      <c r="C316" s="4">
        <v>0</v>
      </c>
      <c r="D316" s="4">
        <v>1</v>
      </c>
      <c r="E316" s="4">
        <v>211</v>
      </c>
      <c r="F316" s="4">
        <f>ROUND(Source!Y289,O316)</f>
        <v>708763.25</v>
      </c>
      <c r="G316" s="4" t="s">
        <v>67</v>
      </c>
      <c r="H316" s="4" t="s">
        <v>68</v>
      </c>
      <c r="I316" s="4"/>
      <c r="J316" s="4"/>
      <c r="K316" s="4">
        <v>211</v>
      </c>
      <c r="L316" s="4">
        <v>26</v>
      </c>
      <c r="M316" s="4">
        <v>3</v>
      </c>
      <c r="N316" s="4" t="s">
        <v>3</v>
      </c>
      <c r="O316" s="4">
        <v>2</v>
      </c>
      <c r="P316" s="4"/>
      <c r="Q316" s="4"/>
      <c r="R316" s="4"/>
      <c r="S316" s="4"/>
      <c r="T316" s="4"/>
      <c r="U316" s="4"/>
      <c r="V316" s="4"/>
      <c r="W316" s="4">
        <v>708763.25</v>
      </c>
      <c r="X316" s="4">
        <v>1</v>
      </c>
      <c r="Y316" s="4">
        <v>708763.25</v>
      </c>
      <c r="Z316" s="4"/>
      <c r="AA316" s="4"/>
      <c r="AB316" s="4"/>
    </row>
    <row r="317" spans="1:28" x14ac:dyDescent="0.2">
      <c r="A317" s="4">
        <v>50</v>
      </c>
      <c r="B317" s="4">
        <v>0</v>
      </c>
      <c r="C317" s="4">
        <v>0</v>
      </c>
      <c r="D317" s="4">
        <v>1</v>
      </c>
      <c r="E317" s="4">
        <v>224</v>
      </c>
      <c r="F317" s="4">
        <f>ROUND(Source!AR289,O317)</f>
        <v>9367813.2200000007</v>
      </c>
      <c r="G317" s="4" t="s">
        <v>69</v>
      </c>
      <c r="H317" s="4" t="s">
        <v>70</v>
      </c>
      <c r="I317" s="4"/>
      <c r="J317" s="4"/>
      <c r="K317" s="4">
        <v>224</v>
      </c>
      <c r="L317" s="4">
        <v>27</v>
      </c>
      <c r="M317" s="4">
        <v>3</v>
      </c>
      <c r="N317" s="4" t="s">
        <v>3</v>
      </c>
      <c r="O317" s="4">
        <v>2</v>
      </c>
      <c r="P317" s="4"/>
      <c r="Q317" s="4"/>
      <c r="R317" s="4"/>
      <c r="S317" s="4"/>
      <c r="T317" s="4"/>
      <c r="U317" s="4"/>
      <c r="V317" s="4"/>
      <c r="W317" s="4">
        <v>9367813.2200000007</v>
      </c>
      <c r="X317" s="4">
        <v>1</v>
      </c>
      <c r="Y317" s="4">
        <v>9367813.2200000007</v>
      </c>
      <c r="Z317" s="4"/>
      <c r="AA317" s="4"/>
      <c r="AB317" s="4"/>
    </row>
    <row r="319" spans="1:28" x14ac:dyDescent="0.2">
      <c r="A319">
        <v>71</v>
      </c>
      <c r="B319">
        <v>1</v>
      </c>
      <c r="D319">
        <v>200001</v>
      </c>
      <c r="E319">
        <v>56151601</v>
      </c>
      <c r="F319" t="s">
        <v>216</v>
      </c>
      <c r="G319" t="s">
        <v>217</v>
      </c>
      <c r="H319">
        <v>80</v>
      </c>
      <c r="I319">
        <v>20</v>
      </c>
    </row>
    <row r="322" spans="1:16" x14ac:dyDescent="0.2">
      <c r="A322">
        <v>70</v>
      </c>
      <c r="B322">
        <v>1</v>
      </c>
      <c r="D322">
        <v>1</v>
      </c>
      <c r="E322" t="s">
        <v>218</v>
      </c>
      <c r="F322" t="s">
        <v>219</v>
      </c>
      <c r="G322">
        <v>1</v>
      </c>
      <c r="H322">
        <v>0</v>
      </c>
      <c r="I322" t="s">
        <v>3</v>
      </c>
      <c r="J322">
        <v>1</v>
      </c>
      <c r="K322">
        <v>0</v>
      </c>
      <c r="L322" t="s">
        <v>3</v>
      </c>
      <c r="M322" t="s">
        <v>3</v>
      </c>
      <c r="N322">
        <v>0</v>
      </c>
      <c r="P322" t="s">
        <v>220</v>
      </c>
    </row>
    <row r="323" spans="1:16" x14ac:dyDescent="0.2">
      <c r="A323">
        <v>70</v>
      </c>
      <c r="B323">
        <v>1</v>
      </c>
      <c r="D323">
        <v>2</v>
      </c>
      <c r="E323" t="s">
        <v>221</v>
      </c>
      <c r="F323" t="s">
        <v>222</v>
      </c>
      <c r="G323">
        <v>0</v>
      </c>
      <c r="H323">
        <v>0</v>
      </c>
      <c r="I323" t="s">
        <v>3</v>
      </c>
      <c r="J323">
        <v>1</v>
      </c>
      <c r="K323">
        <v>0</v>
      </c>
      <c r="L323" t="s">
        <v>3</v>
      </c>
      <c r="M323" t="s">
        <v>3</v>
      </c>
      <c r="N323">
        <v>0</v>
      </c>
      <c r="P323" t="s">
        <v>223</v>
      </c>
    </row>
    <row r="324" spans="1:16" x14ac:dyDescent="0.2">
      <c r="A324">
        <v>70</v>
      </c>
      <c r="B324">
        <v>1</v>
      </c>
      <c r="D324">
        <v>3</v>
      </c>
      <c r="E324" t="s">
        <v>224</v>
      </c>
      <c r="F324" t="s">
        <v>225</v>
      </c>
      <c r="G324">
        <v>0</v>
      </c>
      <c r="H324">
        <v>0</v>
      </c>
      <c r="I324" t="s">
        <v>3</v>
      </c>
      <c r="J324">
        <v>1</v>
      </c>
      <c r="K324">
        <v>0</v>
      </c>
      <c r="L324" t="s">
        <v>3</v>
      </c>
      <c r="M324" t="s">
        <v>3</v>
      </c>
      <c r="N324">
        <v>0</v>
      </c>
      <c r="P324" t="s">
        <v>226</v>
      </c>
    </row>
    <row r="325" spans="1:16" x14ac:dyDescent="0.2">
      <c r="A325">
        <v>70</v>
      </c>
      <c r="B325">
        <v>1</v>
      </c>
      <c r="D325">
        <v>4</v>
      </c>
      <c r="E325" t="s">
        <v>227</v>
      </c>
      <c r="F325" t="s">
        <v>228</v>
      </c>
      <c r="G325">
        <v>1</v>
      </c>
      <c r="H325">
        <v>0</v>
      </c>
      <c r="I325" t="s">
        <v>3</v>
      </c>
      <c r="J325">
        <v>2</v>
      </c>
      <c r="K325">
        <v>0</v>
      </c>
      <c r="L325" t="s">
        <v>3</v>
      </c>
      <c r="M325" t="s">
        <v>3</v>
      </c>
      <c r="N325">
        <v>0</v>
      </c>
      <c r="P325" t="s">
        <v>3</v>
      </c>
    </row>
    <row r="326" spans="1:16" x14ac:dyDescent="0.2">
      <c r="A326">
        <v>70</v>
      </c>
      <c r="B326">
        <v>1</v>
      </c>
      <c r="D326">
        <v>5</v>
      </c>
      <c r="E326" t="s">
        <v>229</v>
      </c>
      <c r="F326" t="s">
        <v>230</v>
      </c>
      <c r="G326">
        <v>0</v>
      </c>
      <c r="H326">
        <v>0</v>
      </c>
      <c r="I326" t="s">
        <v>3</v>
      </c>
      <c r="J326">
        <v>2</v>
      </c>
      <c r="K326">
        <v>0</v>
      </c>
      <c r="L326" t="s">
        <v>3</v>
      </c>
      <c r="M326" t="s">
        <v>3</v>
      </c>
      <c r="N326">
        <v>0</v>
      </c>
      <c r="P326" t="s">
        <v>3</v>
      </c>
    </row>
    <row r="327" spans="1:16" x14ac:dyDescent="0.2">
      <c r="A327">
        <v>70</v>
      </c>
      <c r="B327">
        <v>1</v>
      </c>
      <c r="D327">
        <v>6</v>
      </c>
      <c r="E327" t="s">
        <v>231</v>
      </c>
      <c r="F327" t="s">
        <v>232</v>
      </c>
      <c r="G327">
        <v>0</v>
      </c>
      <c r="H327">
        <v>0</v>
      </c>
      <c r="I327" t="s">
        <v>3</v>
      </c>
      <c r="J327">
        <v>2</v>
      </c>
      <c r="K327">
        <v>0</v>
      </c>
      <c r="L327" t="s">
        <v>3</v>
      </c>
      <c r="M327" t="s">
        <v>3</v>
      </c>
      <c r="N327">
        <v>0</v>
      </c>
      <c r="P327" t="s">
        <v>3</v>
      </c>
    </row>
    <row r="328" spans="1:16" x14ac:dyDescent="0.2">
      <c r="A328">
        <v>70</v>
      </c>
      <c r="B328">
        <v>1</v>
      </c>
      <c r="D328">
        <v>7</v>
      </c>
      <c r="E328" t="s">
        <v>233</v>
      </c>
      <c r="F328" t="s">
        <v>234</v>
      </c>
      <c r="G328">
        <v>0</v>
      </c>
      <c r="H328">
        <v>0</v>
      </c>
      <c r="I328" t="s">
        <v>235</v>
      </c>
      <c r="J328">
        <v>0</v>
      </c>
      <c r="K328">
        <v>0</v>
      </c>
      <c r="L328" t="s">
        <v>3</v>
      </c>
      <c r="M328" t="s">
        <v>3</v>
      </c>
      <c r="N328">
        <v>0</v>
      </c>
      <c r="P328" t="s">
        <v>236</v>
      </c>
    </row>
    <row r="329" spans="1:16" x14ac:dyDescent="0.2">
      <c r="A329">
        <v>70</v>
      </c>
      <c r="B329">
        <v>1</v>
      </c>
      <c r="D329">
        <v>8</v>
      </c>
      <c r="E329" t="s">
        <v>237</v>
      </c>
      <c r="F329" t="s">
        <v>238</v>
      </c>
      <c r="G329">
        <v>1</v>
      </c>
      <c r="H329">
        <v>0</v>
      </c>
      <c r="I329" t="s">
        <v>3</v>
      </c>
      <c r="J329">
        <v>5</v>
      </c>
      <c r="K329">
        <v>0</v>
      </c>
      <c r="L329" t="s">
        <v>3</v>
      </c>
      <c r="M329" t="s">
        <v>3</v>
      </c>
      <c r="N329">
        <v>0</v>
      </c>
      <c r="P329" t="s">
        <v>3</v>
      </c>
    </row>
    <row r="330" spans="1:16" x14ac:dyDescent="0.2">
      <c r="A330">
        <v>70</v>
      </c>
      <c r="B330">
        <v>1</v>
      </c>
      <c r="D330">
        <v>9</v>
      </c>
      <c r="E330" t="s">
        <v>239</v>
      </c>
      <c r="F330" t="s">
        <v>240</v>
      </c>
      <c r="G330">
        <v>0</v>
      </c>
      <c r="H330">
        <v>0</v>
      </c>
      <c r="I330" t="s">
        <v>3</v>
      </c>
      <c r="J330">
        <v>5</v>
      </c>
      <c r="K330">
        <v>0</v>
      </c>
      <c r="L330" t="s">
        <v>3</v>
      </c>
      <c r="M330" t="s">
        <v>3</v>
      </c>
      <c r="N330">
        <v>0</v>
      </c>
      <c r="P330" t="s">
        <v>241</v>
      </c>
    </row>
    <row r="331" spans="1:16" x14ac:dyDescent="0.2">
      <c r="A331">
        <v>70</v>
      </c>
      <c r="B331">
        <v>1</v>
      </c>
      <c r="D331">
        <v>10</v>
      </c>
      <c r="E331" t="s">
        <v>242</v>
      </c>
      <c r="F331" t="s">
        <v>243</v>
      </c>
      <c r="G331">
        <v>0</v>
      </c>
      <c r="H331">
        <v>0</v>
      </c>
      <c r="I331" t="s">
        <v>244</v>
      </c>
      <c r="J331">
        <v>5</v>
      </c>
      <c r="K331">
        <v>0</v>
      </c>
      <c r="L331" t="s">
        <v>3</v>
      </c>
      <c r="M331" t="s">
        <v>3</v>
      </c>
      <c r="N331">
        <v>0</v>
      </c>
      <c r="P331" t="s">
        <v>245</v>
      </c>
    </row>
    <row r="332" spans="1:16" x14ac:dyDescent="0.2">
      <c r="A332">
        <v>70</v>
      </c>
      <c r="B332">
        <v>1</v>
      </c>
      <c r="D332">
        <v>11</v>
      </c>
      <c r="E332" t="s">
        <v>246</v>
      </c>
      <c r="F332" t="s">
        <v>247</v>
      </c>
      <c r="G332">
        <v>0</v>
      </c>
      <c r="H332">
        <v>0</v>
      </c>
      <c r="I332" t="s">
        <v>248</v>
      </c>
      <c r="J332">
        <v>0</v>
      </c>
      <c r="K332">
        <v>0</v>
      </c>
      <c r="L332" t="s">
        <v>3</v>
      </c>
      <c r="M332" t="s">
        <v>3</v>
      </c>
      <c r="N332">
        <v>0</v>
      </c>
      <c r="P332" t="s">
        <v>249</v>
      </c>
    </row>
    <row r="333" spans="1:16" x14ac:dyDescent="0.2">
      <c r="A333">
        <v>70</v>
      </c>
      <c r="B333">
        <v>1</v>
      </c>
      <c r="D333">
        <v>12</v>
      </c>
      <c r="E333" t="s">
        <v>250</v>
      </c>
      <c r="F333" t="s">
        <v>251</v>
      </c>
      <c r="G333">
        <v>0</v>
      </c>
      <c r="H333">
        <v>0</v>
      </c>
      <c r="I333" t="s">
        <v>252</v>
      </c>
      <c r="J333">
        <v>0</v>
      </c>
      <c r="K333">
        <v>0</v>
      </c>
      <c r="L333" t="s">
        <v>3</v>
      </c>
      <c r="M333" t="s">
        <v>3</v>
      </c>
      <c r="N333">
        <v>0</v>
      </c>
      <c r="P333" t="s">
        <v>253</v>
      </c>
    </row>
    <row r="334" spans="1:16" x14ac:dyDescent="0.2">
      <c r="A334">
        <v>70</v>
      </c>
      <c r="B334">
        <v>1</v>
      </c>
      <c r="D334">
        <v>13</v>
      </c>
      <c r="E334" t="s">
        <v>254</v>
      </c>
      <c r="F334" t="s">
        <v>255</v>
      </c>
      <c r="G334">
        <v>0</v>
      </c>
      <c r="H334">
        <v>0</v>
      </c>
      <c r="I334" t="s">
        <v>256</v>
      </c>
      <c r="J334">
        <v>0</v>
      </c>
      <c r="K334">
        <v>0</v>
      </c>
      <c r="L334" t="s">
        <v>3</v>
      </c>
      <c r="M334" t="s">
        <v>3</v>
      </c>
      <c r="N334">
        <v>0</v>
      </c>
      <c r="P334" t="s">
        <v>257</v>
      </c>
    </row>
    <row r="335" spans="1:16" x14ac:dyDescent="0.2">
      <c r="A335">
        <v>70</v>
      </c>
      <c r="B335">
        <v>1</v>
      </c>
      <c r="D335">
        <v>14</v>
      </c>
      <c r="E335" t="s">
        <v>258</v>
      </c>
      <c r="F335" t="s">
        <v>259</v>
      </c>
      <c r="G335">
        <v>0</v>
      </c>
      <c r="H335">
        <v>0</v>
      </c>
      <c r="I335" t="s">
        <v>3</v>
      </c>
      <c r="J335">
        <v>0</v>
      </c>
      <c r="K335">
        <v>0</v>
      </c>
      <c r="L335" t="s">
        <v>3</v>
      </c>
      <c r="M335" t="s">
        <v>3</v>
      </c>
      <c r="N335">
        <v>0</v>
      </c>
      <c r="P335" t="s">
        <v>3</v>
      </c>
    </row>
    <row r="336" spans="1:16" x14ac:dyDescent="0.2">
      <c r="A336">
        <v>70</v>
      </c>
      <c r="B336">
        <v>1</v>
      </c>
      <c r="D336">
        <v>15</v>
      </c>
      <c r="E336" t="s">
        <v>260</v>
      </c>
      <c r="F336" t="s">
        <v>261</v>
      </c>
      <c r="G336">
        <v>0</v>
      </c>
      <c r="H336">
        <v>0</v>
      </c>
      <c r="I336" t="s">
        <v>3</v>
      </c>
      <c r="J336">
        <v>0</v>
      </c>
      <c r="K336">
        <v>0</v>
      </c>
      <c r="L336" t="s">
        <v>3</v>
      </c>
      <c r="M336" t="s">
        <v>3</v>
      </c>
      <c r="N336">
        <v>0</v>
      </c>
      <c r="P336" t="s">
        <v>262</v>
      </c>
    </row>
    <row r="337" spans="1:50" x14ac:dyDescent="0.2">
      <c r="A337">
        <v>70</v>
      </c>
      <c r="B337">
        <v>1</v>
      </c>
      <c r="D337">
        <v>16</v>
      </c>
      <c r="E337" t="s">
        <v>263</v>
      </c>
      <c r="F337" t="s">
        <v>264</v>
      </c>
      <c r="G337">
        <v>0</v>
      </c>
      <c r="H337">
        <v>0</v>
      </c>
      <c r="I337" t="s">
        <v>3</v>
      </c>
      <c r="J337">
        <v>3</v>
      </c>
      <c r="K337">
        <v>0</v>
      </c>
      <c r="L337" t="s">
        <v>3</v>
      </c>
      <c r="M337" t="s">
        <v>3</v>
      </c>
      <c r="N337">
        <v>0</v>
      </c>
      <c r="P337" t="s">
        <v>3</v>
      </c>
    </row>
    <row r="338" spans="1:50" x14ac:dyDescent="0.2">
      <c r="A338">
        <v>70</v>
      </c>
      <c r="B338">
        <v>1</v>
      </c>
      <c r="D338">
        <v>17</v>
      </c>
      <c r="E338" t="s">
        <v>265</v>
      </c>
      <c r="F338" t="s">
        <v>266</v>
      </c>
      <c r="G338">
        <v>1</v>
      </c>
      <c r="H338">
        <v>0</v>
      </c>
      <c r="I338" t="s">
        <v>3</v>
      </c>
      <c r="J338">
        <v>3</v>
      </c>
      <c r="K338">
        <v>0</v>
      </c>
      <c r="L338" t="s">
        <v>3</v>
      </c>
      <c r="M338" t="s">
        <v>3</v>
      </c>
      <c r="N338">
        <v>0</v>
      </c>
      <c r="P338" t="s">
        <v>3</v>
      </c>
    </row>
    <row r="339" spans="1:50" x14ac:dyDescent="0.2">
      <c r="A339">
        <v>70</v>
      </c>
      <c r="B339">
        <v>1</v>
      </c>
      <c r="D339">
        <v>1</v>
      </c>
      <c r="E339" t="s">
        <v>267</v>
      </c>
      <c r="F339" t="s">
        <v>268</v>
      </c>
      <c r="G339">
        <v>0.9</v>
      </c>
      <c r="H339">
        <v>1</v>
      </c>
      <c r="I339" t="s">
        <v>269</v>
      </c>
      <c r="J339">
        <v>0</v>
      </c>
      <c r="K339">
        <v>0</v>
      </c>
      <c r="L339" t="s">
        <v>3</v>
      </c>
      <c r="M339" t="s">
        <v>3</v>
      </c>
      <c r="N339">
        <v>0</v>
      </c>
      <c r="P339" t="s">
        <v>270</v>
      </c>
    </row>
    <row r="340" spans="1:50" x14ac:dyDescent="0.2">
      <c r="A340">
        <v>70</v>
      </c>
      <c r="B340">
        <v>1</v>
      </c>
      <c r="D340">
        <v>2</v>
      </c>
      <c r="E340" t="s">
        <v>271</v>
      </c>
      <c r="F340" t="s">
        <v>272</v>
      </c>
      <c r="G340">
        <v>0.85</v>
      </c>
      <c r="H340">
        <v>1</v>
      </c>
      <c r="I340" t="s">
        <v>273</v>
      </c>
      <c r="J340">
        <v>0</v>
      </c>
      <c r="K340">
        <v>0</v>
      </c>
      <c r="L340" t="s">
        <v>3</v>
      </c>
      <c r="M340" t="s">
        <v>3</v>
      </c>
      <c r="N340">
        <v>0</v>
      </c>
      <c r="P340" t="s">
        <v>274</v>
      </c>
    </row>
    <row r="341" spans="1:50" x14ac:dyDescent="0.2">
      <c r="A341">
        <v>70</v>
      </c>
      <c r="B341">
        <v>1</v>
      </c>
      <c r="D341">
        <v>3</v>
      </c>
      <c r="E341" t="s">
        <v>275</v>
      </c>
      <c r="F341" t="s">
        <v>276</v>
      </c>
      <c r="G341">
        <v>1.03</v>
      </c>
      <c r="H341">
        <v>0</v>
      </c>
      <c r="I341" t="s">
        <v>3</v>
      </c>
      <c r="J341">
        <v>0</v>
      </c>
      <c r="K341">
        <v>0</v>
      </c>
      <c r="L341" t="s">
        <v>3</v>
      </c>
      <c r="M341" t="s">
        <v>3</v>
      </c>
      <c r="N341">
        <v>0</v>
      </c>
      <c r="P341" t="s">
        <v>277</v>
      </c>
    </row>
    <row r="342" spans="1:50" x14ac:dyDescent="0.2">
      <c r="A342">
        <v>70</v>
      </c>
      <c r="B342">
        <v>1</v>
      </c>
      <c r="D342">
        <v>4</v>
      </c>
      <c r="E342" t="s">
        <v>278</v>
      </c>
      <c r="F342" t="s">
        <v>279</v>
      </c>
      <c r="G342">
        <v>1.1499999999999999</v>
      </c>
      <c r="H342">
        <v>0</v>
      </c>
      <c r="I342" t="s">
        <v>3</v>
      </c>
      <c r="J342">
        <v>0</v>
      </c>
      <c r="K342">
        <v>0</v>
      </c>
      <c r="L342" t="s">
        <v>3</v>
      </c>
      <c r="M342" t="s">
        <v>3</v>
      </c>
      <c r="N342">
        <v>0</v>
      </c>
      <c r="P342" t="s">
        <v>280</v>
      </c>
    </row>
    <row r="343" spans="1:50" x14ac:dyDescent="0.2">
      <c r="A343">
        <v>70</v>
      </c>
      <c r="B343">
        <v>1</v>
      </c>
      <c r="D343">
        <v>5</v>
      </c>
      <c r="E343" t="s">
        <v>281</v>
      </c>
      <c r="F343" t="s">
        <v>282</v>
      </c>
      <c r="G343">
        <v>7</v>
      </c>
      <c r="H343">
        <v>0</v>
      </c>
      <c r="I343" t="s">
        <v>3</v>
      </c>
      <c r="J343">
        <v>0</v>
      </c>
      <c r="K343">
        <v>0</v>
      </c>
      <c r="L343" t="s">
        <v>3</v>
      </c>
      <c r="M343" t="s">
        <v>3</v>
      </c>
      <c r="N343">
        <v>0</v>
      </c>
      <c r="P343" t="s">
        <v>3</v>
      </c>
    </row>
    <row r="344" spans="1:50" x14ac:dyDescent="0.2">
      <c r="A344">
        <v>70</v>
      </c>
      <c r="B344">
        <v>1</v>
      </c>
      <c r="D344">
        <v>6</v>
      </c>
      <c r="E344" t="s">
        <v>283</v>
      </c>
      <c r="F344" t="s">
        <v>3</v>
      </c>
      <c r="G344">
        <v>2</v>
      </c>
      <c r="H344">
        <v>0</v>
      </c>
      <c r="I344" t="s">
        <v>3</v>
      </c>
      <c r="J344">
        <v>0</v>
      </c>
      <c r="K344">
        <v>0</v>
      </c>
      <c r="L344" t="s">
        <v>3</v>
      </c>
      <c r="M344" t="s">
        <v>3</v>
      </c>
      <c r="N344">
        <v>0</v>
      </c>
      <c r="P344" t="s">
        <v>3</v>
      </c>
    </row>
    <row r="346" spans="1:50" x14ac:dyDescent="0.2">
      <c r="A346">
        <v>-1</v>
      </c>
    </row>
    <row r="348" spans="1:50" x14ac:dyDescent="0.2">
      <c r="A348" s="3">
        <v>75</v>
      </c>
      <c r="B348" s="3" t="s">
        <v>284</v>
      </c>
      <c r="C348" s="3">
        <v>2024</v>
      </c>
      <c r="D348" s="3">
        <v>0</v>
      </c>
      <c r="E348" s="3">
        <v>12</v>
      </c>
      <c r="F348" s="3">
        <v>1</v>
      </c>
      <c r="G348" s="3">
        <v>0</v>
      </c>
      <c r="H348" s="3">
        <v>1</v>
      </c>
      <c r="I348" s="3">
        <v>0</v>
      </c>
      <c r="J348" s="3">
        <v>3</v>
      </c>
      <c r="K348" s="3">
        <v>0</v>
      </c>
      <c r="L348" s="3">
        <v>0</v>
      </c>
      <c r="M348" s="3">
        <v>0</v>
      </c>
      <c r="N348" s="3">
        <v>65174513</v>
      </c>
      <c r="O348" s="3">
        <v>1</v>
      </c>
    </row>
    <row r="349" spans="1:50" x14ac:dyDescent="0.2">
      <c r="A349" s="5">
        <v>2</v>
      </c>
      <c r="B349" s="5" t="s">
        <v>285</v>
      </c>
      <c r="C349" s="5" t="s">
        <v>286</v>
      </c>
      <c r="D349" s="5">
        <v>0</v>
      </c>
      <c r="E349" s="5">
        <v>0</v>
      </c>
      <c r="F349" s="5">
        <v>0</v>
      </c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  <c r="AA349" s="5"/>
      <c r="AB349" s="5"/>
      <c r="AC349" s="5"/>
      <c r="AD349" s="5"/>
      <c r="AE349" s="5"/>
      <c r="AF349" s="5"/>
      <c r="AG349" s="5"/>
      <c r="AH349" s="5"/>
      <c r="AI349" s="5"/>
      <c r="AJ349" s="5"/>
      <c r="AK349" s="5"/>
      <c r="AL349" s="5"/>
      <c r="AM349" s="5"/>
      <c r="AN349" s="5">
        <v>65174514</v>
      </c>
    </row>
    <row r="350" spans="1:50" x14ac:dyDescent="0.2">
      <c r="A350" s="5">
        <v>1</v>
      </c>
      <c r="B350" s="5" t="s">
        <v>287</v>
      </c>
      <c r="C350" s="5" t="s">
        <v>288</v>
      </c>
      <c r="D350" s="5">
        <v>2024</v>
      </c>
      <c r="E350" s="5">
        <v>12</v>
      </c>
      <c r="F350" s="5">
        <v>1</v>
      </c>
      <c r="G350" s="5">
        <v>1</v>
      </c>
      <c r="H350" s="5">
        <v>0</v>
      </c>
      <c r="I350" s="5">
        <v>2</v>
      </c>
      <c r="J350" s="5">
        <v>1</v>
      </c>
      <c r="K350" s="5">
        <v>1</v>
      </c>
      <c r="L350" s="5">
        <v>1</v>
      </c>
      <c r="M350" s="5">
        <v>1</v>
      </c>
      <c r="N350" s="5">
        <v>1</v>
      </c>
      <c r="O350" s="5">
        <v>1</v>
      </c>
      <c r="P350" s="5">
        <v>1</v>
      </c>
      <c r="Q350" s="5">
        <v>1</v>
      </c>
      <c r="R350" s="5" t="s">
        <v>3</v>
      </c>
      <c r="S350" s="5" t="s">
        <v>3</v>
      </c>
      <c r="T350" s="5" t="s">
        <v>3</v>
      </c>
      <c r="U350" s="5" t="s">
        <v>3</v>
      </c>
      <c r="V350" s="5" t="s">
        <v>3</v>
      </c>
      <c r="W350" s="5" t="s">
        <v>3</v>
      </c>
      <c r="X350" s="5" t="s">
        <v>3</v>
      </c>
      <c r="Y350" s="5" t="s">
        <v>3</v>
      </c>
      <c r="Z350" s="5" t="s">
        <v>3</v>
      </c>
      <c r="AA350" s="5" t="s">
        <v>3</v>
      </c>
      <c r="AB350" s="5"/>
      <c r="AC350" s="5"/>
      <c r="AD350" s="5"/>
      <c r="AE350" s="5"/>
      <c r="AF350" s="5"/>
      <c r="AG350" s="5"/>
      <c r="AH350" s="5"/>
      <c r="AI350" s="5"/>
      <c r="AJ350" s="5"/>
      <c r="AK350" s="5"/>
      <c r="AL350" s="5"/>
      <c r="AM350" s="5"/>
      <c r="AN350" s="5">
        <v>65174515</v>
      </c>
      <c r="AO350" s="5" t="s">
        <v>289</v>
      </c>
      <c r="AP350" s="5" t="s">
        <v>290</v>
      </c>
      <c r="AQ350" s="5">
        <v>45621</v>
      </c>
      <c r="AR350" s="5">
        <v>361</v>
      </c>
      <c r="AS350" s="5" t="s">
        <v>291</v>
      </c>
      <c r="AT350" s="5" t="s">
        <v>3</v>
      </c>
      <c r="AU350" s="5" t="s">
        <v>290</v>
      </c>
      <c r="AV350" s="5"/>
      <c r="AW350" s="5">
        <v>0</v>
      </c>
      <c r="AX350" s="5" t="s">
        <v>292</v>
      </c>
    </row>
    <row r="354" spans="1:5" x14ac:dyDescent="0.2">
      <c r="A354">
        <v>65</v>
      </c>
      <c r="C354">
        <v>1</v>
      </c>
      <c r="D354">
        <v>0</v>
      </c>
      <c r="E354">
        <v>245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4142A2-06A0-42A9-97EC-AFA8EDC6D183}">
  <dimension ref="A1:EC53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293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0</v>
      </c>
      <c r="L1">
        <v>34136</v>
      </c>
      <c r="M1">
        <v>10</v>
      </c>
      <c r="N1">
        <v>11</v>
      </c>
      <c r="O1">
        <v>11</v>
      </c>
      <c r="P1">
        <v>0</v>
      </c>
      <c r="Q1">
        <v>0</v>
      </c>
    </row>
    <row r="12" spans="1:133" x14ac:dyDescent="0.2">
      <c r="A12" s="1">
        <v>1</v>
      </c>
      <c r="B12" s="1">
        <v>51</v>
      </c>
      <c r="C12" s="1">
        <v>0</v>
      </c>
      <c r="D12" s="1"/>
      <c r="E12" s="1">
        <v>0</v>
      </c>
      <c r="F12" s="1" t="s">
        <v>4</v>
      </c>
      <c r="G12" s="1" t="s">
        <v>5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523</v>
      </c>
      <c r="N12" s="1"/>
      <c r="O12" s="1">
        <v>0</v>
      </c>
      <c r="P12" s="1">
        <v>0</v>
      </c>
      <c r="Q12" s="1">
        <v>7</v>
      </c>
      <c r="R12" s="1">
        <v>0</v>
      </c>
      <c r="S12" s="1"/>
      <c r="T12" s="1">
        <v>4</v>
      </c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6</v>
      </c>
      <c r="AC12" s="1" t="s">
        <v>3</v>
      </c>
      <c r="AD12" s="1" t="s">
        <v>7</v>
      </c>
      <c r="AE12" s="1" t="s">
        <v>3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>
        <v>0</v>
      </c>
      <c r="BC12" s="1"/>
      <c r="BD12" s="1"/>
      <c r="BE12" s="1"/>
      <c r="BF12" s="1"/>
      <c r="BG12" s="1"/>
      <c r="BH12" s="1" t="s">
        <v>8</v>
      </c>
      <c r="BI12" s="1" t="s">
        <v>9</v>
      </c>
      <c r="BJ12" s="1">
        <v>0</v>
      </c>
      <c r="BK12" s="1">
        <v>0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1</v>
      </c>
      <c r="BW12" s="1">
        <v>0</v>
      </c>
      <c r="BX12" s="1">
        <v>0</v>
      </c>
      <c r="BY12" s="1" t="s">
        <v>10</v>
      </c>
      <c r="BZ12" s="1" t="s">
        <v>11</v>
      </c>
      <c r="CA12" s="1" t="s">
        <v>12</v>
      </c>
      <c r="CB12" s="1" t="s">
        <v>12</v>
      </c>
      <c r="CC12" s="1" t="s">
        <v>12</v>
      </c>
      <c r="CD12" s="1" t="s">
        <v>12</v>
      </c>
      <c r="CE12" s="1" t="s">
        <v>13</v>
      </c>
      <c r="CF12" s="1">
        <v>0</v>
      </c>
      <c r="CG12" s="1">
        <v>0</v>
      </c>
      <c r="CH12" s="1">
        <v>487063560</v>
      </c>
      <c r="CI12" s="1" t="s">
        <v>3</v>
      </c>
      <c r="CJ12" s="1" t="s">
        <v>3</v>
      </c>
      <c r="CK12" s="1">
        <v>12</v>
      </c>
      <c r="CL12" s="1"/>
      <c r="CM12" s="1"/>
      <c r="CN12" s="1"/>
      <c r="CO12" s="1"/>
      <c r="CP12" s="1"/>
      <c r="CQ12" s="1" t="s">
        <v>14</v>
      </c>
      <c r="CR12" s="1" t="s">
        <v>15</v>
      </c>
      <c r="CS12" s="1">
        <v>45603</v>
      </c>
      <c r="CT12" s="1">
        <v>505</v>
      </c>
      <c r="CU12" s="1">
        <v>12</v>
      </c>
      <c r="CV12" s="1" t="s">
        <v>386</v>
      </c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4" spans="1:133" x14ac:dyDescent="0.2">
      <c r="A14" s="1">
        <v>22</v>
      </c>
      <c r="B14" s="1">
        <v>1</v>
      </c>
      <c r="C14" s="1">
        <v>0</v>
      </c>
      <c r="D14" s="1">
        <v>65174513</v>
      </c>
      <c r="E14" s="1">
        <v>0</v>
      </c>
      <c r="F14" s="1">
        <v>2</v>
      </c>
      <c r="G14" s="1">
        <v>1</v>
      </c>
      <c r="H14" s="1"/>
      <c r="I14" s="1"/>
      <c r="J14" s="1"/>
      <c r="K14" s="1"/>
      <c r="L14" s="1"/>
      <c r="M14" s="1"/>
      <c r="N14" s="1"/>
      <c r="O14" s="1"/>
    </row>
    <row r="16" spans="1:133" x14ac:dyDescent="0.2">
      <c r="A16" s="6">
        <v>3</v>
      </c>
      <c r="B16" s="6">
        <v>0</v>
      </c>
      <c r="C16" s="6" t="s">
        <v>16</v>
      </c>
      <c r="D16" s="6" t="s">
        <v>71</v>
      </c>
      <c r="E16" s="7">
        <f>ROUND((Source!F273)/1000,2)</f>
        <v>2703.22</v>
      </c>
      <c r="F16" s="7">
        <f>ROUND((Source!F274)/1000,2)</f>
        <v>6633.85</v>
      </c>
      <c r="G16" s="7">
        <f>ROUND((Source!F265)/1000,2)</f>
        <v>0</v>
      </c>
      <c r="H16" s="7">
        <f>ROUND((Source!F275)/1000+(Source!F276)/1000,2)</f>
        <v>30.74</v>
      </c>
      <c r="I16" s="7">
        <f>E16+F16+G16+H16</f>
        <v>9367.81</v>
      </c>
      <c r="J16" s="7">
        <f>ROUND((Source!F271+Source!F270)/1000,2)</f>
        <v>1437.26</v>
      </c>
      <c r="AI16" s="6">
        <v>0</v>
      </c>
      <c r="AJ16" s="6">
        <v>-1</v>
      </c>
      <c r="AK16" s="6" t="s">
        <v>3</v>
      </c>
      <c r="AL16" s="6" t="s">
        <v>3</v>
      </c>
      <c r="AM16" s="6" t="s">
        <v>3</v>
      </c>
      <c r="AN16" s="6">
        <v>0</v>
      </c>
      <c r="AO16" s="6" t="s">
        <v>3</v>
      </c>
      <c r="AP16" s="6" t="s">
        <v>3</v>
      </c>
      <c r="AT16" s="7">
        <v>7307779.3799999999</v>
      </c>
      <c r="AU16" s="7">
        <v>5713531.8099999996</v>
      </c>
      <c r="AV16" s="7">
        <v>0</v>
      </c>
      <c r="AW16" s="7">
        <v>0</v>
      </c>
      <c r="AX16" s="7">
        <v>0</v>
      </c>
      <c r="AY16" s="7">
        <v>156985.06</v>
      </c>
      <c r="AZ16" s="7">
        <v>90692.109999999986</v>
      </c>
      <c r="BA16" s="7">
        <v>1346570.4000000001</v>
      </c>
      <c r="BB16" s="7">
        <v>2703224.14</v>
      </c>
      <c r="BC16" s="7">
        <v>6633851.7999999998</v>
      </c>
      <c r="BD16" s="7">
        <v>30737.279999999999</v>
      </c>
      <c r="BE16" s="7">
        <v>0</v>
      </c>
      <c r="BF16" s="7">
        <v>3215.768</v>
      </c>
      <c r="BG16" s="7">
        <v>169.30080000000001</v>
      </c>
      <c r="BH16" s="7">
        <v>0</v>
      </c>
      <c r="BI16" s="7">
        <v>1351270.59</v>
      </c>
      <c r="BJ16" s="7">
        <v>708763.25</v>
      </c>
      <c r="BK16" s="7">
        <v>9367813.2200000007</v>
      </c>
    </row>
    <row r="18" spans="1:19" x14ac:dyDescent="0.2">
      <c r="A18">
        <v>51</v>
      </c>
      <c r="E18" s="8">
        <f>SUMIF(A16:A17,3,E16:E17)</f>
        <v>2703.22</v>
      </c>
      <c r="F18" s="8">
        <f>SUMIF(A16:A17,3,F16:F17)</f>
        <v>6633.85</v>
      </c>
      <c r="G18" s="8">
        <f>SUMIF(A16:A17,3,G16:G17)</f>
        <v>0</v>
      </c>
      <c r="H18" s="8">
        <f>SUMIF(A16:A17,3,H16:H17)</f>
        <v>30.74</v>
      </c>
      <c r="I18" s="8">
        <f>SUMIF(A16:A17,3,I16:I17)</f>
        <v>9367.81</v>
      </c>
      <c r="J18" s="8">
        <f>SUMIF(A16:A17,3,J16:J17)</f>
        <v>1437.26</v>
      </c>
      <c r="K18" s="8"/>
      <c r="L18" s="8"/>
      <c r="M18" s="8"/>
      <c r="N18" s="8"/>
      <c r="O18" s="8"/>
      <c r="P18" s="8"/>
      <c r="Q18" s="8"/>
      <c r="R18" s="8"/>
      <c r="S18" s="8"/>
    </row>
    <row r="20" spans="1:19" x14ac:dyDescent="0.2">
      <c r="A20" s="4">
        <v>50</v>
      </c>
      <c r="B20" s="4">
        <v>0</v>
      </c>
      <c r="C20" s="4">
        <v>0</v>
      </c>
      <c r="D20" s="4">
        <v>1</v>
      </c>
      <c r="E20" s="4">
        <v>201</v>
      </c>
      <c r="F20" s="4">
        <v>7307779.3799999999</v>
      </c>
      <c r="G20" s="4" t="s">
        <v>17</v>
      </c>
      <c r="H20" s="4" t="s">
        <v>18</v>
      </c>
      <c r="I20" s="4"/>
      <c r="J20" s="4"/>
      <c r="K20" s="4">
        <v>201</v>
      </c>
      <c r="L20" s="4">
        <v>1</v>
      </c>
      <c r="M20" s="4">
        <v>3</v>
      </c>
      <c r="N20" s="4" t="s">
        <v>3</v>
      </c>
      <c r="O20" s="4">
        <v>2</v>
      </c>
      <c r="P20" s="4"/>
    </row>
    <row r="21" spans="1:19" x14ac:dyDescent="0.2">
      <c r="A21" s="4">
        <v>50</v>
      </c>
      <c r="B21" s="4">
        <v>0</v>
      </c>
      <c r="C21" s="4">
        <v>0</v>
      </c>
      <c r="D21" s="4">
        <v>1</v>
      </c>
      <c r="E21" s="4">
        <v>202</v>
      </c>
      <c r="F21" s="4">
        <v>5713531.8099999996</v>
      </c>
      <c r="G21" s="4" t="s">
        <v>19</v>
      </c>
      <c r="H21" s="4" t="s">
        <v>20</v>
      </c>
      <c r="I21" s="4"/>
      <c r="J21" s="4"/>
      <c r="K21" s="4">
        <v>202</v>
      </c>
      <c r="L21" s="4">
        <v>2</v>
      </c>
      <c r="M21" s="4">
        <v>3</v>
      </c>
      <c r="N21" s="4" t="s">
        <v>3</v>
      </c>
      <c r="O21" s="4">
        <v>2</v>
      </c>
      <c r="P21" s="4"/>
    </row>
    <row r="22" spans="1:19" x14ac:dyDescent="0.2">
      <c r="A22" s="4">
        <v>50</v>
      </c>
      <c r="B22" s="4">
        <v>0</v>
      </c>
      <c r="C22" s="4">
        <v>0</v>
      </c>
      <c r="D22" s="4">
        <v>1</v>
      </c>
      <c r="E22" s="4">
        <v>222</v>
      </c>
      <c r="F22" s="4">
        <v>0</v>
      </c>
      <c r="G22" s="4" t="s">
        <v>21</v>
      </c>
      <c r="H22" s="4" t="s">
        <v>22</v>
      </c>
      <c r="I22" s="4"/>
      <c r="J22" s="4"/>
      <c r="K22" s="4">
        <v>222</v>
      </c>
      <c r="L22" s="4">
        <v>3</v>
      </c>
      <c r="M22" s="4">
        <v>3</v>
      </c>
      <c r="N22" s="4" t="s">
        <v>3</v>
      </c>
      <c r="O22" s="4">
        <v>2</v>
      </c>
      <c r="P22" s="4"/>
    </row>
    <row r="23" spans="1:19" x14ac:dyDescent="0.2">
      <c r="A23" s="4">
        <v>50</v>
      </c>
      <c r="B23" s="4">
        <v>0</v>
      </c>
      <c r="C23" s="4">
        <v>0</v>
      </c>
      <c r="D23" s="4">
        <v>1</v>
      </c>
      <c r="E23" s="4">
        <v>225</v>
      </c>
      <c r="F23" s="4">
        <v>5713531.8099999996</v>
      </c>
      <c r="G23" s="4" t="s">
        <v>23</v>
      </c>
      <c r="H23" s="4" t="s">
        <v>24</v>
      </c>
      <c r="I23" s="4"/>
      <c r="J23" s="4"/>
      <c r="K23" s="4">
        <v>225</v>
      </c>
      <c r="L23" s="4">
        <v>4</v>
      </c>
      <c r="M23" s="4">
        <v>3</v>
      </c>
      <c r="N23" s="4" t="s">
        <v>3</v>
      </c>
      <c r="O23" s="4">
        <v>2</v>
      </c>
      <c r="P23" s="4"/>
    </row>
    <row r="24" spans="1:19" x14ac:dyDescent="0.2">
      <c r="A24" s="4">
        <v>50</v>
      </c>
      <c r="B24" s="4">
        <v>0</v>
      </c>
      <c r="C24" s="4">
        <v>0</v>
      </c>
      <c r="D24" s="4">
        <v>1</v>
      </c>
      <c r="E24" s="4">
        <v>226</v>
      </c>
      <c r="F24" s="4">
        <v>5713531.8099999996</v>
      </c>
      <c r="G24" s="4" t="s">
        <v>25</v>
      </c>
      <c r="H24" s="4" t="s">
        <v>26</v>
      </c>
      <c r="I24" s="4"/>
      <c r="J24" s="4"/>
      <c r="K24" s="4">
        <v>226</v>
      </c>
      <c r="L24" s="4">
        <v>5</v>
      </c>
      <c r="M24" s="4">
        <v>3</v>
      </c>
      <c r="N24" s="4" t="s">
        <v>3</v>
      </c>
      <c r="O24" s="4">
        <v>2</v>
      </c>
      <c r="P24" s="4"/>
    </row>
    <row r="25" spans="1:19" x14ac:dyDescent="0.2">
      <c r="A25" s="4">
        <v>50</v>
      </c>
      <c r="B25" s="4">
        <v>0</v>
      </c>
      <c r="C25" s="4">
        <v>0</v>
      </c>
      <c r="D25" s="4">
        <v>1</v>
      </c>
      <c r="E25" s="4">
        <v>227</v>
      </c>
      <c r="F25" s="4">
        <v>0</v>
      </c>
      <c r="G25" s="4" t="s">
        <v>27</v>
      </c>
      <c r="H25" s="4" t="s">
        <v>28</v>
      </c>
      <c r="I25" s="4"/>
      <c r="J25" s="4"/>
      <c r="K25" s="4">
        <v>227</v>
      </c>
      <c r="L25" s="4">
        <v>6</v>
      </c>
      <c r="M25" s="4">
        <v>3</v>
      </c>
      <c r="N25" s="4" t="s">
        <v>3</v>
      </c>
      <c r="O25" s="4">
        <v>2</v>
      </c>
      <c r="P25" s="4"/>
    </row>
    <row r="26" spans="1:19" x14ac:dyDescent="0.2">
      <c r="A26" s="4">
        <v>50</v>
      </c>
      <c r="B26" s="4">
        <v>0</v>
      </c>
      <c r="C26" s="4">
        <v>0</v>
      </c>
      <c r="D26" s="4">
        <v>1</v>
      </c>
      <c r="E26" s="4">
        <v>228</v>
      </c>
      <c r="F26" s="4">
        <v>5713531.8099999996</v>
      </c>
      <c r="G26" s="4" t="s">
        <v>29</v>
      </c>
      <c r="H26" s="4" t="s">
        <v>30</v>
      </c>
      <c r="I26" s="4"/>
      <c r="J26" s="4"/>
      <c r="K26" s="4">
        <v>228</v>
      </c>
      <c r="L26" s="4">
        <v>7</v>
      </c>
      <c r="M26" s="4">
        <v>3</v>
      </c>
      <c r="N26" s="4" t="s">
        <v>3</v>
      </c>
      <c r="O26" s="4">
        <v>2</v>
      </c>
      <c r="P26" s="4"/>
    </row>
    <row r="27" spans="1:19" x14ac:dyDescent="0.2">
      <c r="A27" s="4">
        <v>50</v>
      </c>
      <c r="B27" s="4">
        <v>0</v>
      </c>
      <c r="C27" s="4">
        <v>0</v>
      </c>
      <c r="D27" s="4">
        <v>1</v>
      </c>
      <c r="E27" s="4">
        <v>216</v>
      </c>
      <c r="F27" s="4">
        <v>0</v>
      </c>
      <c r="G27" s="4" t="s">
        <v>31</v>
      </c>
      <c r="H27" s="4" t="s">
        <v>32</v>
      </c>
      <c r="I27" s="4"/>
      <c r="J27" s="4"/>
      <c r="K27" s="4">
        <v>216</v>
      </c>
      <c r="L27" s="4">
        <v>8</v>
      </c>
      <c r="M27" s="4">
        <v>3</v>
      </c>
      <c r="N27" s="4" t="s">
        <v>3</v>
      </c>
      <c r="O27" s="4">
        <v>2</v>
      </c>
      <c r="P27" s="4"/>
    </row>
    <row r="28" spans="1:19" x14ac:dyDescent="0.2">
      <c r="A28" s="4">
        <v>50</v>
      </c>
      <c r="B28" s="4">
        <v>0</v>
      </c>
      <c r="C28" s="4">
        <v>0</v>
      </c>
      <c r="D28" s="4">
        <v>1</v>
      </c>
      <c r="E28" s="4">
        <v>223</v>
      </c>
      <c r="F28" s="4">
        <v>0</v>
      </c>
      <c r="G28" s="4" t="s">
        <v>33</v>
      </c>
      <c r="H28" s="4" t="s">
        <v>34</v>
      </c>
      <c r="I28" s="4"/>
      <c r="J28" s="4"/>
      <c r="K28" s="4">
        <v>223</v>
      </c>
      <c r="L28" s="4">
        <v>9</v>
      </c>
      <c r="M28" s="4">
        <v>3</v>
      </c>
      <c r="N28" s="4" t="s">
        <v>3</v>
      </c>
      <c r="O28" s="4">
        <v>2</v>
      </c>
      <c r="P28" s="4"/>
    </row>
    <row r="29" spans="1:19" x14ac:dyDescent="0.2">
      <c r="A29" s="4">
        <v>50</v>
      </c>
      <c r="B29" s="4">
        <v>0</v>
      </c>
      <c r="C29" s="4">
        <v>0</v>
      </c>
      <c r="D29" s="4">
        <v>1</v>
      </c>
      <c r="E29" s="4">
        <v>229</v>
      </c>
      <c r="F29" s="4">
        <v>0</v>
      </c>
      <c r="G29" s="4" t="s">
        <v>35</v>
      </c>
      <c r="H29" s="4" t="s">
        <v>36</v>
      </c>
      <c r="I29" s="4"/>
      <c r="J29" s="4"/>
      <c r="K29" s="4">
        <v>229</v>
      </c>
      <c r="L29" s="4">
        <v>10</v>
      </c>
      <c r="M29" s="4">
        <v>3</v>
      </c>
      <c r="N29" s="4" t="s">
        <v>3</v>
      </c>
      <c r="O29" s="4">
        <v>2</v>
      </c>
      <c r="P29" s="4"/>
    </row>
    <row r="30" spans="1:19" x14ac:dyDescent="0.2">
      <c r="A30" s="4">
        <v>50</v>
      </c>
      <c r="B30" s="4">
        <v>0</v>
      </c>
      <c r="C30" s="4">
        <v>0</v>
      </c>
      <c r="D30" s="4">
        <v>1</v>
      </c>
      <c r="E30" s="4">
        <v>203</v>
      </c>
      <c r="F30" s="4">
        <v>156985.06</v>
      </c>
      <c r="G30" s="4" t="s">
        <v>37</v>
      </c>
      <c r="H30" s="4" t="s">
        <v>38</v>
      </c>
      <c r="I30" s="4"/>
      <c r="J30" s="4"/>
      <c r="K30" s="4">
        <v>203</v>
      </c>
      <c r="L30" s="4">
        <v>11</v>
      </c>
      <c r="M30" s="4">
        <v>3</v>
      </c>
      <c r="N30" s="4" t="s">
        <v>3</v>
      </c>
      <c r="O30" s="4">
        <v>2</v>
      </c>
      <c r="P30" s="4"/>
    </row>
    <row r="31" spans="1:19" x14ac:dyDescent="0.2">
      <c r="A31" s="4">
        <v>50</v>
      </c>
      <c r="B31" s="4">
        <v>0</v>
      </c>
      <c r="C31" s="4">
        <v>0</v>
      </c>
      <c r="D31" s="4">
        <v>1</v>
      </c>
      <c r="E31" s="4">
        <v>231</v>
      </c>
      <c r="F31" s="4">
        <v>0</v>
      </c>
      <c r="G31" s="4" t="s">
        <v>39</v>
      </c>
      <c r="H31" s="4" t="s">
        <v>40</v>
      </c>
      <c r="I31" s="4"/>
      <c r="J31" s="4"/>
      <c r="K31" s="4">
        <v>231</v>
      </c>
      <c r="L31" s="4">
        <v>12</v>
      </c>
      <c r="M31" s="4">
        <v>3</v>
      </c>
      <c r="N31" s="4" t="s">
        <v>3</v>
      </c>
      <c r="O31" s="4">
        <v>2</v>
      </c>
      <c r="P31" s="4"/>
    </row>
    <row r="32" spans="1:19" x14ac:dyDescent="0.2">
      <c r="A32" s="4">
        <v>50</v>
      </c>
      <c r="B32" s="4">
        <v>0</v>
      </c>
      <c r="C32" s="4">
        <v>0</v>
      </c>
      <c r="D32" s="4">
        <v>1</v>
      </c>
      <c r="E32" s="4">
        <v>204</v>
      </c>
      <c r="F32" s="4">
        <v>90692.11</v>
      </c>
      <c r="G32" s="4" t="s">
        <v>41</v>
      </c>
      <c r="H32" s="4" t="s">
        <v>42</v>
      </c>
      <c r="I32" s="4"/>
      <c r="J32" s="4"/>
      <c r="K32" s="4">
        <v>204</v>
      </c>
      <c r="L32" s="4">
        <v>13</v>
      </c>
      <c r="M32" s="4">
        <v>3</v>
      </c>
      <c r="N32" s="4" t="s">
        <v>3</v>
      </c>
      <c r="O32" s="4">
        <v>2</v>
      </c>
      <c r="P32" s="4"/>
    </row>
    <row r="33" spans="1:16" x14ac:dyDescent="0.2">
      <c r="A33" s="4">
        <v>50</v>
      </c>
      <c r="B33" s="4">
        <v>0</v>
      </c>
      <c r="C33" s="4">
        <v>0</v>
      </c>
      <c r="D33" s="4">
        <v>1</v>
      </c>
      <c r="E33" s="4">
        <v>205</v>
      </c>
      <c r="F33" s="4">
        <v>1346570.4000000004</v>
      </c>
      <c r="G33" s="4" t="s">
        <v>43</v>
      </c>
      <c r="H33" s="4" t="s">
        <v>44</v>
      </c>
      <c r="I33" s="4"/>
      <c r="J33" s="4"/>
      <c r="K33" s="4">
        <v>205</v>
      </c>
      <c r="L33" s="4">
        <v>14</v>
      </c>
      <c r="M33" s="4">
        <v>3</v>
      </c>
      <c r="N33" s="4" t="s">
        <v>3</v>
      </c>
      <c r="O33" s="4">
        <v>2</v>
      </c>
      <c r="P33" s="4"/>
    </row>
    <row r="34" spans="1:16" x14ac:dyDescent="0.2">
      <c r="A34" s="4">
        <v>50</v>
      </c>
      <c r="B34" s="4">
        <v>0</v>
      </c>
      <c r="C34" s="4">
        <v>0</v>
      </c>
      <c r="D34" s="4">
        <v>1</v>
      </c>
      <c r="E34" s="4">
        <v>232</v>
      </c>
      <c r="F34" s="4">
        <v>0</v>
      </c>
      <c r="G34" s="4" t="s">
        <v>45</v>
      </c>
      <c r="H34" s="4" t="s">
        <v>46</v>
      </c>
      <c r="I34" s="4"/>
      <c r="J34" s="4"/>
      <c r="K34" s="4">
        <v>232</v>
      </c>
      <c r="L34" s="4">
        <v>15</v>
      </c>
      <c r="M34" s="4">
        <v>3</v>
      </c>
      <c r="N34" s="4" t="s">
        <v>3</v>
      </c>
      <c r="O34" s="4">
        <v>2</v>
      </c>
      <c r="P34" s="4"/>
    </row>
    <row r="35" spans="1:16" x14ac:dyDescent="0.2">
      <c r="A35" s="4">
        <v>50</v>
      </c>
      <c r="B35" s="4">
        <v>0</v>
      </c>
      <c r="C35" s="4">
        <v>0</v>
      </c>
      <c r="D35" s="4">
        <v>1</v>
      </c>
      <c r="E35" s="4">
        <v>214</v>
      </c>
      <c r="F35" s="4">
        <v>2703224.14</v>
      </c>
      <c r="G35" s="4" t="s">
        <v>47</v>
      </c>
      <c r="H35" s="4" t="s">
        <v>48</v>
      </c>
      <c r="I35" s="4"/>
      <c r="J35" s="4"/>
      <c r="K35" s="4">
        <v>214</v>
      </c>
      <c r="L35" s="4">
        <v>16</v>
      </c>
      <c r="M35" s="4">
        <v>3</v>
      </c>
      <c r="N35" s="4" t="s">
        <v>3</v>
      </c>
      <c r="O35" s="4">
        <v>2</v>
      </c>
      <c r="P35" s="4"/>
    </row>
    <row r="36" spans="1:16" x14ac:dyDescent="0.2">
      <c r="A36" s="4">
        <v>50</v>
      </c>
      <c r="B36" s="4">
        <v>0</v>
      </c>
      <c r="C36" s="4">
        <v>0</v>
      </c>
      <c r="D36" s="4">
        <v>1</v>
      </c>
      <c r="E36" s="4">
        <v>215</v>
      </c>
      <c r="F36" s="4">
        <v>6633851.7999999998</v>
      </c>
      <c r="G36" s="4" t="s">
        <v>49</v>
      </c>
      <c r="H36" s="4" t="s">
        <v>50</v>
      </c>
      <c r="I36" s="4"/>
      <c r="J36" s="4"/>
      <c r="K36" s="4">
        <v>215</v>
      </c>
      <c r="L36" s="4">
        <v>17</v>
      </c>
      <c r="M36" s="4">
        <v>3</v>
      </c>
      <c r="N36" s="4" t="s">
        <v>3</v>
      </c>
      <c r="O36" s="4">
        <v>2</v>
      </c>
      <c r="P36" s="4"/>
    </row>
    <row r="37" spans="1:16" x14ac:dyDescent="0.2">
      <c r="A37" s="4">
        <v>50</v>
      </c>
      <c r="B37" s="4">
        <v>0</v>
      </c>
      <c r="C37" s="4">
        <v>0</v>
      </c>
      <c r="D37" s="4">
        <v>1</v>
      </c>
      <c r="E37" s="4">
        <v>217</v>
      </c>
      <c r="F37" s="4">
        <v>30737.279999999999</v>
      </c>
      <c r="G37" s="4" t="s">
        <v>51</v>
      </c>
      <c r="H37" s="4" t="s">
        <v>52</v>
      </c>
      <c r="I37" s="4"/>
      <c r="J37" s="4"/>
      <c r="K37" s="4">
        <v>217</v>
      </c>
      <c r="L37" s="4">
        <v>18</v>
      </c>
      <c r="M37" s="4">
        <v>3</v>
      </c>
      <c r="N37" s="4" t="s">
        <v>3</v>
      </c>
      <c r="O37" s="4">
        <v>2</v>
      </c>
      <c r="P37" s="4"/>
    </row>
    <row r="38" spans="1:16" x14ac:dyDescent="0.2">
      <c r="A38" s="4">
        <v>50</v>
      </c>
      <c r="B38" s="4">
        <v>0</v>
      </c>
      <c r="C38" s="4">
        <v>0</v>
      </c>
      <c r="D38" s="4">
        <v>1</v>
      </c>
      <c r="E38" s="4">
        <v>230</v>
      </c>
      <c r="F38" s="4">
        <v>0</v>
      </c>
      <c r="G38" s="4" t="s">
        <v>53</v>
      </c>
      <c r="H38" s="4" t="s">
        <v>54</v>
      </c>
      <c r="I38" s="4"/>
      <c r="J38" s="4"/>
      <c r="K38" s="4">
        <v>230</v>
      </c>
      <c r="L38" s="4">
        <v>19</v>
      </c>
      <c r="M38" s="4">
        <v>3</v>
      </c>
      <c r="N38" s="4" t="s">
        <v>3</v>
      </c>
      <c r="O38" s="4">
        <v>2</v>
      </c>
      <c r="P38" s="4"/>
    </row>
    <row r="39" spans="1:16" x14ac:dyDescent="0.2">
      <c r="A39" s="4">
        <v>50</v>
      </c>
      <c r="B39" s="4">
        <v>0</v>
      </c>
      <c r="C39" s="4">
        <v>0</v>
      </c>
      <c r="D39" s="4">
        <v>1</v>
      </c>
      <c r="E39" s="4">
        <v>206</v>
      </c>
      <c r="F39" s="4">
        <v>0</v>
      </c>
      <c r="G39" s="4" t="s">
        <v>55</v>
      </c>
      <c r="H39" s="4" t="s">
        <v>56</v>
      </c>
      <c r="I39" s="4"/>
      <c r="J39" s="4"/>
      <c r="K39" s="4">
        <v>206</v>
      </c>
      <c r="L39" s="4">
        <v>20</v>
      </c>
      <c r="M39" s="4">
        <v>3</v>
      </c>
      <c r="N39" s="4" t="s">
        <v>3</v>
      </c>
      <c r="O39" s="4">
        <v>2</v>
      </c>
      <c r="P39" s="4"/>
    </row>
    <row r="40" spans="1:16" x14ac:dyDescent="0.2">
      <c r="A40" s="4">
        <v>50</v>
      </c>
      <c r="B40" s="4">
        <v>0</v>
      </c>
      <c r="C40" s="4">
        <v>0</v>
      </c>
      <c r="D40" s="4">
        <v>1</v>
      </c>
      <c r="E40" s="4">
        <v>207</v>
      </c>
      <c r="F40" s="4">
        <v>3215.768</v>
      </c>
      <c r="G40" s="4" t="s">
        <v>57</v>
      </c>
      <c r="H40" s="4" t="s">
        <v>58</v>
      </c>
      <c r="I40" s="4"/>
      <c r="J40" s="4"/>
      <c r="K40" s="4">
        <v>207</v>
      </c>
      <c r="L40" s="4">
        <v>21</v>
      </c>
      <c r="M40" s="4">
        <v>3</v>
      </c>
      <c r="N40" s="4" t="s">
        <v>3</v>
      </c>
      <c r="O40" s="4">
        <v>-1</v>
      </c>
      <c r="P40" s="4"/>
    </row>
    <row r="41" spans="1:16" x14ac:dyDescent="0.2">
      <c r="A41" s="4">
        <v>50</v>
      </c>
      <c r="B41" s="4">
        <v>0</v>
      </c>
      <c r="C41" s="4">
        <v>0</v>
      </c>
      <c r="D41" s="4">
        <v>1</v>
      </c>
      <c r="E41" s="4">
        <v>208</v>
      </c>
      <c r="F41" s="4">
        <v>169.30080000000001</v>
      </c>
      <c r="G41" s="4" t="s">
        <v>59</v>
      </c>
      <c r="H41" s="4" t="s">
        <v>60</v>
      </c>
      <c r="I41" s="4"/>
      <c r="J41" s="4"/>
      <c r="K41" s="4">
        <v>208</v>
      </c>
      <c r="L41" s="4">
        <v>22</v>
      </c>
      <c r="M41" s="4">
        <v>3</v>
      </c>
      <c r="N41" s="4" t="s">
        <v>3</v>
      </c>
      <c r="O41" s="4">
        <v>-1</v>
      </c>
      <c r="P41" s="4"/>
    </row>
    <row r="42" spans="1:16" x14ac:dyDescent="0.2">
      <c r="A42" s="4">
        <v>50</v>
      </c>
      <c r="B42" s="4">
        <v>0</v>
      </c>
      <c r="C42" s="4">
        <v>0</v>
      </c>
      <c r="D42" s="4">
        <v>1</v>
      </c>
      <c r="E42" s="4">
        <v>209</v>
      </c>
      <c r="F42" s="4">
        <v>0</v>
      </c>
      <c r="G42" s="4" t="s">
        <v>61</v>
      </c>
      <c r="H42" s="4" t="s">
        <v>62</v>
      </c>
      <c r="I42" s="4"/>
      <c r="J42" s="4"/>
      <c r="K42" s="4">
        <v>209</v>
      </c>
      <c r="L42" s="4">
        <v>23</v>
      </c>
      <c r="M42" s="4">
        <v>3</v>
      </c>
      <c r="N42" s="4" t="s">
        <v>3</v>
      </c>
      <c r="O42" s="4">
        <v>2</v>
      </c>
      <c r="P42" s="4"/>
    </row>
    <row r="43" spans="1:16" x14ac:dyDescent="0.2">
      <c r="A43" s="4">
        <v>50</v>
      </c>
      <c r="B43" s="4">
        <v>0</v>
      </c>
      <c r="C43" s="4">
        <v>0</v>
      </c>
      <c r="D43" s="4">
        <v>1</v>
      </c>
      <c r="E43" s="4">
        <v>233</v>
      </c>
      <c r="F43" s="4">
        <v>0</v>
      </c>
      <c r="G43" s="4" t="s">
        <v>63</v>
      </c>
      <c r="H43" s="4" t="s">
        <v>64</v>
      </c>
      <c r="I43" s="4"/>
      <c r="J43" s="4"/>
      <c r="K43" s="4">
        <v>233</v>
      </c>
      <c r="L43" s="4">
        <v>24</v>
      </c>
      <c r="M43" s="4">
        <v>3</v>
      </c>
      <c r="N43" s="4" t="s">
        <v>3</v>
      </c>
      <c r="O43" s="4">
        <v>2</v>
      </c>
      <c r="P43" s="4"/>
    </row>
    <row r="44" spans="1:16" x14ac:dyDescent="0.2">
      <c r="A44" s="4">
        <v>50</v>
      </c>
      <c r="B44" s="4">
        <v>0</v>
      </c>
      <c r="C44" s="4">
        <v>0</v>
      </c>
      <c r="D44" s="4">
        <v>1</v>
      </c>
      <c r="E44" s="4">
        <v>210</v>
      </c>
      <c r="F44" s="4">
        <v>1351270.59</v>
      </c>
      <c r="G44" s="4" t="s">
        <v>65</v>
      </c>
      <c r="H44" s="4" t="s">
        <v>66</v>
      </c>
      <c r="I44" s="4"/>
      <c r="J44" s="4"/>
      <c r="K44" s="4">
        <v>210</v>
      </c>
      <c r="L44" s="4">
        <v>25</v>
      </c>
      <c r="M44" s="4">
        <v>3</v>
      </c>
      <c r="N44" s="4" t="s">
        <v>3</v>
      </c>
      <c r="O44" s="4">
        <v>2</v>
      </c>
      <c r="P44" s="4"/>
    </row>
    <row r="45" spans="1:16" x14ac:dyDescent="0.2">
      <c r="A45" s="4">
        <v>50</v>
      </c>
      <c r="B45" s="4">
        <v>0</v>
      </c>
      <c r="C45" s="4">
        <v>0</v>
      </c>
      <c r="D45" s="4">
        <v>1</v>
      </c>
      <c r="E45" s="4">
        <v>211</v>
      </c>
      <c r="F45" s="4">
        <v>708763.25</v>
      </c>
      <c r="G45" s="4" t="s">
        <v>67</v>
      </c>
      <c r="H45" s="4" t="s">
        <v>68</v>
      </c>
      <c r="I45" s="4"/>
      <c r="J45" s="4"/>
      <c r="K45" s="4">
        <v>211</v>
      </c>
      <c r="L45" s="4">
        <v>26</v>
      </c>
      <c r="M45" s="4">
        <v>3</v>
      </c>
      <c r="N45" s="4" t="s">
        <v>3</v>
      </c>
      <c r="O45" s="4">
        <v>2</v>
      </c>
      <c r="P45" s="4"/>
    </row>
    <row r="46" spans="1:16" x14ac:dyDescent="0.2">
      <c r="A46" s="4">
        <v>50</v>
      </c>
      <c r="B46" s="4">
        <v>0</v>
      </c>
      <c r="C46" s="4">
        <v>0</v>
      </c>
      <c r="D46" s="4">
        <v>1</v>
      </c>
      <c r="E46" s="4">
        <v>224</v>
      </c>
      <c r="F46" s="4">
        <v>9367813.2200000007</v>
      </c>
      <c r="G46" s="4" t="s">
        <v>69</v>
      </c>
      <c r="H46" s="4" t="s">
        <v>70</v>
      </c>
      <c r="I46" s="4"/>
      <c r="J46" s="4"/>
      <c r="K46" s="4">
        <v>224</v>
      </c>
      <c r="L46" s="4">
        <v>27</v>
      </c>
      <c r="M46" s="4">
        <v>3</v>
      </c>
      <c r="N46" s="4" t="s">
        <v>3</v>
      </c>
      <c r="O46" s="4">
        <v>2</v>
      </c>
      <c r="P46" s="4"/>
    </row>
    <row r="48" spans="1:16" x14ac:dyDescent="0.2">
      <c r="A48">
        <v>-1</v>
      </c>
    </row>
    <row r="51" spans="1:50" x14ac:dyDescent="0.2">
      <c r="A51" s="3">
        <v>75</v>
      </c>
      <c r="B51" s="3" t="s">
        <v>284</v>
      </c>
      <c r="C51" s="3">
        <v>2024</v>
      </c>
      <c r="D51" s="3">
        <v>0</v>
      </c>
      <c r="E51" s="3">
        <v>12</v>
      </c>
      <c r="F51" s="3">
        <v>1</v>
      </c>
      <c r="G51" s="3">
        <v>0</v>
      </c>
      <c r="H51" s="3">
        <v>1</v>
      </c>
      <c r="I51" s="3">
        <v>0</v>
      </c>
      <c r="J51" s="3">
        <v>3</v>
      </c>
      <c r="K51" s="3">
        <v>0</v>
      </c>
      <c r="L51" s="3">
        <v>0</v>
      </c>
      <c r="M51" s="3">
        <v>0</v>
      </c>
      <c r="N51" s="3">
        <v>65174513</v>
      </c>
      <c r="O51" s="3">
        <v>1</v>
      </c>
    </row>
    <row r="52" spans="1:50" x14ac:dyDescent="0.2">
      <c r="A52" s="5">
        <v>2</v>
      </c>
      <c r="B52" s="5" t="s">
        <v>285</v>
      </c>
      <c r="C52" s="5" t="s">
        <v>286</v>
      </c>
      <c r="D52" s="5">
        <v>0</v>
      </c>
      <c r="E52" s="5">
        <v>0</v>
      </c>
      <c r="F52" s="5">
        <v>0</v>
      </c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>
        <v>65174514</v>
      </c>
    </row>
    <row r="53" spans="1:50" x14ac:dyDescent="0.2">
      <c r="A53" s="5">
        <v>1</v>
      </c>
      <c r="B53" s="5" t="s">
        <v>287</v>
      </c>
      <c r="C53" s="5" t="s">
        <v>288</v>
      </c>
      <c r="D53" s="5">
        <v>2024</v>
      </c>
      <c r="E53" s="5">
        <v>12</v>
      </c>
      <c r="F53" s="5">
        <v>1</v>
      </c>
      <c r="G53" s="5">
        <v>1</v>
      </c>
      <c r="H53" s="5">
        <v>0</v>
      </c>
      <c r="I53" s="5">
        <v>2</v>
      </c>
      <c r="J53" s="5">
        <v>1</v>
      </c>
      <c r="K53" s="5">
        <v>1</v>
      </c>
      <c r="L53" s="5">
        <v>1</v>
      </c>
      <c r="M53" s="5">
        <v>1</v>
      </c>
      <c r="N53" s="5">
        <v>1</v>
      </c>
      <c r="O53" s="5">
        <v>1</v>
      </c>
      <c r="P53" s="5">
        <v>1</v>
      </c>
      <c r="Q53" s="5">
        <v>1</v>
      </c>
      <c r="R53" s="5" t="s">
        <v>3</v>
      </c>
      <c r="S53" s="5" t="s">
        <v>3</v>
      </c>
      <c r="T53" s="5" t="s">
        <v>3</v>
      </c>
      <c r="U53" s="5" t="s">
        <v>3</v>
      </c>
      <c r="V53" s="5" t="s">
        <v>3</v>
      </c>
      <c r="W53" s="5" t="s">
        <v>3</v>
      </c>
      <c r="X53" s="5" t="s">
        <v>3</v>
      </c>
      <c r="Y53" s="5" t="s">
        <v>3</v>
      </c>
      <c r="Z53" s="5" t="s">
        <v>3</v>
      </c>
      <c r="AA53" s="5" t="s">
        <v>3</v>
      </c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>
        <v>65174515</v>
      </c>
      <c r="AO53" s="5" t="s">
        <v>289</v>
      </c>
      <c r="AP53" s="5" t="s">
        <v>290</v>
      </c>
      <c r="AQ53" s="5">
        <v>45621</v>
      </c>
      <c r="AR53" s="5">
        <v>361</v>
      </c>
      <c r="AS53" s="5" t="s">
        <v>291</v>
      </c>
      <c r="AT53" s="5" t="s">
        <v>3</v>
      </c>
      <c r="AU53" s="5" t="s">
        <v>290</v>
      </c>
      <c r="AV53" s="5"/>
      <c r="AW53" s="5">
        <v>0</v>
      </c>
      <c r="AX53" s="5" t="s">
        <v>292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22F871-998C-4D45-8932-DDED43D2A6AA}">
  <dimension ref="A1:DO319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19" x14ac:dyDescent="0.2">
      <c r="A1">
        <f>ROW(Source!A62)</f>
        <v>62</v>
      </c>
      <c r="B1">
        <v>65174513</v>
      </c>
      <c r="C1">
        <v>65174663</v>
      </c>
      <c r="D1">
        <v>37064998</v>
      </c>
      <c r="E1">
        <v>109</v>
      </c>
      <c r="F1">
        <v>1</v>
      </c>
      <c r="G1">
        <v>1</v>
      </c>
      <c r="H1">
        <v>1</v>
      </c>
      <c r="I1" t="s">
        <v>294</v>
      </c>
      <c r="J1" t="s">
        <v>3</v>
      </c>
      <c r="K1" t="s">
        <v>295</v>
      </c>
      <c r="L1">
        <v>1191</v>
      </c>
      <c r="N1">
        <v>1013</v>
      </c>
      <c r="O1" t="s">
        <v>296</v>
      </c>
      <c r="P1" t="s">
        <v>296</v>
      </c>
      <c r="Q1">
        <v>1</v>
      </c>
      <c r="W1">
        <v>0</v>
      </c>
      <c r="X1">
        <v>2031828327</v>
      </c>
      <c r="Y1">
        <f>(AT1*ROUND(1.15,7))</f>
        <v>177.1</v>
      </c>
      <c r="AA1">
        <v>0</v>
      </c>
      <c r="AB1">
        <v>0</v>
      </c>
      <c r="AC1">
        <v>0</v>
      </c>
      <c r="AD1">
        <v>399.03</v>
      </c>
      <c r="AE1">
        <v>0</v>
      </c>
      <c r="AF1">
        <v>0</v>
      </c>
      <c r="AG1">
        <v>0</v>
      </c>
      <c r="AH1">
        <v>399.03</v>
      </c>
      <c r="AI1">
        <v>1</v>
      </c>
      <c r="AJ1">
        <v>1</v>
      </c>
      <c r="AK1">
        <v>1</v>
      </c>
      <c r="AL1">
        <v>1</v>
      </c>
      <c r="AM1">
        <v>-2</v>
      </c>
      <c r="AN1">
        <v>0</v>
      </c>
      <c r="AO1">
        <v>0</v>
      </c>
      <c r="AP1">
        <v>1</v>
      </c>
      <c r="AQ1">
        <v>1</v>
      </c>
      <c r="AR1">
        <v>0</v>
      </c>
      <c r="AS1" t="s">
        <v>3</v>
      </c>
      <c r="AT1">
        <v>154</v>
      </c>
      <c r="AU1" t="s">
        <v>80</v>
      </c>
      <c r="AV1">
        <v>1</v>
      </c>
      <c r="AW1">
        <v>2</v>
      </c>
      <c r="AX1">
        <v>65174665</v>
      </c>
      <c r="AY1">
        <v>1</v>
      </c>
      <c r="AZ1">
        <v>0</v>
      </c>
      <c r="BA1">
        <v>1</v>
      </c>
      <c r="BB1">
        <v>1</v>
      </c>
      <c r="BC1">
        <v>0</v>
      </c>
      <c r="BD1">
        <v>0</v>
      </c>
      <c r="BE1">
        <v>0</v>
      </c>
      <c r="BF1">
        <v>0</v>
      </c>
      <c r="BG1">
        <v>0</v>
      </c>
      <c r="BH1">
        <v>0</v>
      </c>
      <c r="BI1">
        <v>0</v>
      </c>
      <c r="BJ1">
        <v>0</v>
      </c>
      <c r="BK1">
        <v>0</v>
      </c>
      <c r="BL1">
        <v>0</v>
      </c>
      <c r="BM1">
        <v>61450.619999999995</v>
      </c>
      <c r="BN1">
        <v>154</v>
      </c>
      <c r="BO1">
        <v>0</v>
      </c>
      <c r="BP1">
        <v>1</v>
      </c>
      <c r="BQ1">
        <v>0</v>
      </c>
      <c r="BR1">
        <v>0</v>
      </c>
      <c r="BS1">
        <v>0</v>
      </c>
      <c r="BT1">
        <v>70668.212999999989</v>
      </c>
      <c r="BU1">
        <v>177.1</v>
      </c>
      <c r="BV1">
        <v>0</v>
      </c>
      <c r="BW1">
        <v>1</v>
      </c>
      <c r="CU1">
        <f>ROUND(AT1*Source!I62*AH1*AL1,2)</f>
        <v>389351.13</v>
      </c>
      <c r="CV1">
        <f>ROUND(Y1*Source!I62,7)</f>
        <v>1122.1056000000001</v>
      </c>
      <c r="CW1">
        <v>0</v>
      </c>
      <c r="CX1">
        <f>ROUND(Y1*Source!I62,7)</f>
        <v>1122.1056000000001</v>
      </c>
      <c r="CY1">
        <f>AD1</f>
        <v>399.03</v>
      </c>
      <c r="CZ1">
        <f>AH1</f>
        <v>399.03</v>
      </c>
      <c r="DA1">
        <f>AL1</f>
        <v>1</v>
      </c>
      <c r="DB1">
        <f>ROUND((ROUND(AT1*CZ1,2)*ROUND(1.15,7)),6)</f>
        <v>70668.213000000003</v>
      </c>
      <c r="DC1">
        <f>ROUND((ROUND(AT1*AG1,2)*ROUND(1.15,7)),6)</f>
        <v>0</v>
      </c>
      <c r="DD1" t="s">
        <v>3</v>
      </c>
      <c r="DE1" t="s">
        <v>3</v>
      </c>
      <c r="DF1">
        <f>ROUND(ROUND(AE1,2)*CX1,2)</f>
        <v>0</v>
      </c>
      <c r="DG1">
        <f t="shared" ref="DG1:DG7" si="0">ROUND(ROUND(AF1,2)*CX1,2)</f>
        <v>0</v>
      </c>
      <c r="DH1">
        <f t="shared" ref="DH1:DH32" si="1">ROUND(ROUND(AG1,2)*CX1,2)</f>
        <v>0</v>
      </c>
      <c r="DI1">
        <f t="shared" ref="DI1:DI32" si="2">ROUND(ROUND(AH1,2)*CX1,2)</f>
        <v>447753.8</v>
      </c>
      <c r="DJ1">
        <f>DI1</f>
        <v>447753.8</v>
      </c>
      <c r="DK1">
        <v>1</v>
      </c>
      <c r="DL1" t="s">
        <v>3</v>
      </c>
      <c r="DM1">
        <v>0</v>
      </c>
      <c r="DN1" t="s">
        <v>3</v>
      </c>
      <c r="DO1">
        <v>0</v>
      </c>
    </row>
    <row r="2" spans="1:119" x14ac:dyDescent="0.2">
      <c r="A2">
        <f>ROW(Source!A63)</f>
        <v>63</v>
      </c>
      <c r="B2">
        <v>65174513</v>
      </c>
      <c r="C2">
        <v>65174666</v>
      </c>
      <c r="D2">
        <v>63884057</v>
      </c>
      <c r="E2">
        <v>112</v>
      </c>
      <c r="F2">
        <v>1</v>
      </c>
      <c r="G2">
        <v>1</v>
      </c>
      <c r="H2">
        <v>1</v>
      </c>
      <c r="I2" t="s">
        <v>297</v>
      </c>
      <c r="J2" t="s">
        <v>3</v>
      </c>
      <c r="K2" t="s">
        <v>298</v>
      </c>
      <c r="L2">
        <v>1191</v>
      </c>
      <c r="N2">
        <v>1013</v>
      </c>
      <c r="O2" t="s">
        <v>296</v>
      </c>
      <c r="P2" t="s">
        <v>296</v>
      </c>
      <c r="Q2">
        <v>1</v>
      </c>
      <c r="W2">
        <v>0</v>
      </c>
      <c r="X2">
        <v>-267883188</v>
      </c>
      <c r="Y2">
        <f>(AT2*ROUND(1.1,7))</f>
        <v>97.350000000000009</v>
      </c>
      <c r="AA2">
        <v>0</v>
      </c>
      <c r="AB2">
        <v>0</v>
      </c>
      <c r="AC2">
        <v>0</v>
      </c>
      <c r="AD2">
        <v>382.55</v>
      </c>
      <c r="AE2">
        <v>0</v>
      </c>
      <c r="AF2">
        <v>0</v>
      </c>
      <c r="AG2">
        <v>0</v>
      </c>
      <c r="AH2">
        <v>382.55</v>
      </c>
      <c r="AI2">
        <v>1</v>
      </c>
      <c r="AJ2">
        <v>1</v>
      </c>
      <c r="AK2">
        <v>1</v>
      </c>
      <c r="AL2">
        <v>1</v>
      </c>
      <c r="AM2">
        <v>-2</v>
      </c>
      <c r="AN2">
        <v>0</v>
      </c>
      <c r="AO2">
        <v>0</v>
      </c>
      <c r="AP2">
        <v>1</v>
      </c>
      <c r="AQ2">
        <v>1</v>
      </c>
      <c r="AR2">
        <v>0</v>
      </c>
      <c r="AS2" t="s">
        <v>3</v>
      </c>
      <c r="AT2">
        <v>88.5</v>
      </c>
      <c r="AU2" t="s">
        <v>93</v>
      </c>
      <c r="AV2">
        <v>1</v>
      </c>
      <c r="AW2">
        <v>2</v>
      </c>
      <c r="AX2">
        <v>65175082</v>
      </c>
      <c r="AY2">
        <v>1</v>
      </c>
      <c r="AZ2">
        <v>0</v>
      </c>
      <c r="BA2">
        <v>2</v>
      </c>
      <c r="BB2">
        <v>1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33855.675000000003</v>
      </c>
      <c r="BN2">
        <v>88.5</v>
      </c>
      <c r="BO2">
        <v>0</v>
      </c>
      <c r="BP2">
        <v>1</v>
      </c>
      <c r="BQ2">
        <v>0</v>
      </c>
      <c r="BR2">
        <v>0</v>
      </c>
      <c r="BS2">
        <v>0</v>
      </c>
      <c r="BT2">
        <v>37241.242500000008</v>
      </c>
      <c r="BU2">
        <v>97.350000000000009</v>
      </c>
      <c r="BV2">
        <v>0</v>
      </c>
      <c r="BW2">
        <v>1</v>
      </c>
      <c r="CU2">
        <f>ROUND(AT2*Source!I63*AH2*AL2,2)</f>
        <v>214509.56</v>
      </c>
      <c r="CV2">
        <f>ROUND(Y2*Source!I63,7)</f>
        <v>616.80960000000005</v>
      </c>
      <c r="CW2">
        <v>0</v>
      </c>
      <c r="CX2">
        <f>ROUND(Y2*Source!I63,7)</f>
        <v>616.80960000000005</v>
      </c>
      <c r="CY2">
        <f>AD2</f>
        <v>382.55</v>
      </c>
      <c r="CZ2">
        <f>AH2</f>
        <v>382.55</v>
      </c>
      <c r="DA2">
        <f>AL2</f>
        <v>1</v>
      </c>
      <c r="DB2">
        <f>ROUND((ROUND(AT2*CZ2,2)*ROUND(1.1,7)),6)</f>
        <v>37241.248</v>
      </c>
      <c r="DC2">
        <f>ROUND((ROUND(AT2*AG2,2)*ROUND(1.1,7)),6)</f>
        <v>0</v>
      </c>
      <c r="DD2" t="s">
        <v>3</v>
      </c>
      <c r="DE2" t="s">
        <v>3</v>
      </c>
      <c r="DF2">
        <f>ROUND(ROUND(AE2,2)*CX2,2)</f>
        <v>0</v>
      </c>
      <c r="DG2">
        <f t="shared" si="0"/>
        <v>0</v>
      </c>
      <c r="DH2">
        <f t="shared" si="1"/>
        <v>0</v>
      </c>
      <c r="DI2">
        <f t="shared" si="2"/>
        <v>235960.51</v>
      </c>
      <c r="DJ2">
        <f>DI2</f>
        <v>235960.51</v>
      </c>
      <c r="DK2">
        <v>1</v>
      </c>
      <c r="DL2" t="s">
        <v>3</v>
      </c>
      <c r="DM2">
        <v>0</v>
      </c>
      <c r="DN2" t="s">
        <v>3</v>
      </c>
      <c r="DO2">
        <v>0</v>
      </c>
    </row>
    <row r="3" spans="1:119" x14ac:dyDescent="0.2">
      <c r="A3">
        <f>ROW(Source!A64)</f>
        <v>64</v>
      </c>
      <c r="B3">
        <v>65174513</v>
      </c>
      <c r="C3">
        <v>65174669</v>
      </c>
      <c r="D3">
        <v>37068121</v>
      </c>
      <c r="E3">
        <v>109</v>
      </c>
      <c r="F3">
        <v>1</v>
      </c>
      <c r="G3">
        <v>1</v>
      </c>
      <c r="H3">
        <v>1</v>
      </c>
      <c r="I3" t="s">
        <v>299</v>
      </c>
      <c r="J3" t="s">
        <v>3</v>
      </c>
      <c r="K3" t="s">
        <v>300</v>
      </c>
      <c r="L3">
        <v>1191</v>
      </c>
      <c r="N3">
        <v>1013</v>
      </c>
      <c r="O3" t="s">
        <v>296</v>
      </c>
      <c r="P3" t="s">
        <v>296</v>
      </c>
      <c r="Q3">
        <v>1</v>
      </c>
      <c r="W3">
        <v>0</v>
      </c>
      <c r="X3">
        <v>-366857280</v>
      </c>
      <c r="Y3">
        <f t="shared" ref="Y3:Y10" si="3">AT3</f>
        <v>40</v>
      </c>
      <c r="AA3">
        <v>0</v>
      </c>
      <c r="AB3">
        <v>0</v>
      </c>
      <c r="AC3">
        <v>0</v>
      </c>
      <c r="AD3">
        <v>406.35</v>
      </c>
      <c r="AE3">
        <v>0</v>
      </c>
      <c r="AF3">
        <v>0</v>
      </c>
      <c r="AG3">
        <v>0</v>
      </c>
      <c r="AH3">
        <v>406.35</v>
      </c>
      <c r="AI3">
        <v>1</v>
      </c>
      <c r="AJ3">
        <v>1</v>
      </c>
      <c r="AK3">
        <v>1</v>
      </c>
      <c r="AL3">
        <v>1</v>
      </c>
      <c r="AM3">
        <v>-2</v>
      </c>
      <c r="AN3">
        <v>0</v>
      </c>
      <c r="AO3">
        <v>0</v>
      </c>
      <c r="AP3">
        <v>1</v>
      </c>
      <c r="AQ3">
        <v>1</v>
      </c>
      <c r="AR3">
        <v>0</v>
      </c>
      <c r="AS3" t="s">
        <v>3</v>
      </c>
      <c r="AT3">
        <v>40</v>
      </c>
      <c r="AU3" t="s">
        <v>3</v>
      </c>
      <c r="AV3">
        <v>1</v>
      </c>
      <c r="AW3">
        <v>2</v>
      </c>
      <c r="AX3">
        <v>65174672</v>
      </c>
      <c r="AY3">
        <v>1</v>
      </c>
      <c r="AZ3">
        <v>0</v>
      </c>
      <c r="BA3">
        <v>3</v>
      </c>
      <c r="BB3">
        <v>1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16254</v>
      </c>
      <c r="BN3">
        <v>40</v>
      </c>
      <c r="BO3">
        <v>0</v>
      </c>
      <c r="BP3">
        <v>1</v>
      </c>
      <c r="BQ3">
        <v>0</v>
      </c>
      <c r="BR3">
        <v>0</v>
      </c>
      <c r="BS3">
        <v>0</v>
      </c>
      <c r="BT3">
        <v>16254</v>
      </c>
      <c r="BU3">
        <v>40</v>
      </c>
      <c r="BV3">
        <v>0</v>
      </c>
      <c r="BW3">
        <v>1</v>
      </c>
      <c r="CU3">
        <f>ROUND(AT3*Source!I64*AH3*AL3,2)</f>
        <v>214552.8</v>
      </c>
      <c r="CV3">
        <f>ROUND(Y3*Source!I64,7)</f>
        <v>528</v>
      </c>
      <c r="CW3">
        <v>0</v>
      </c>
      <c r="CX3">
        <f>ROUND(Y3*Source!I64,7)</f>
        <v>528</v>
      </c>
      <c r="CY3">
        <f>AD3</f>
        <v>406.35</v>
      </c>
      <c r="CZ3">
        <f>AH3</f>
        <v>406.35</v>
      </c>
      <c r="DA3">
        <f>AL3</f>
        <v>1</v>
      </c>
      <c r="DB3">
        <f t="shared" ref="DB3:DB10" si="4">ROUND(ROUND(AT3*CZ3,2),6)</f>
        <v>16254</v>
      </c>
      <c r="DC3">
        <f t="shared" ref="DC3:DC10" si="5">ROUND(ROUND(AT3*AG3,2),6)</f>
        <v>0</v>
      </c>
      <c r="DD3" t="s">
        <v>3</v>
      </c>
      <c r="DE3" t="s">
        <v>3</v>
      </c>
      <c r="DF3">
        <f>ROUND(ROUND(AE3,2)*CX3,2)</f>
        <v>0</v>
      </c>
      <c r="DG3">
        <f t="shared" si="0"/>
        <v>0</v>
      </c>
      <c r="DH3">
        <f t="shared" si="1"/>
        <v>0</v>
      </c>
      <c r="DI3">
        <f t="shared" si="2"/>
        <v>214552.8</v>
      </c>
      <c r="DJ3">
        <f>DI3</f>
        <v>214552.8</v>
      </c>
      <c r="DK3">
        <v>1</v>
      </c>
      <c r="DL3" t="s">
        <v>3</v>
      </c>
      <c r="DM3">
        <v>0</v>
      </c>
      <c r="DN3" t="s">
        <v>3</v>
      </c>
      <c r="DO3">
        <v>0</v>
      </c>
    </row>
    <row r="4" spans="1:119" x14ac:dyDescent="0.2">
      <c r="A4">
        <f>ROW(Source!A64)</f>
        <v>64</v>
      </c>
      <c r="B4">
        <v>65174513</v>
      </c>
      <c r="C4">
        <v>65174669</v>
      </c>
      <c r="D4">
        <v>59026742</v>
      </c>
      <c r="E4">
        <v>1</v>
      </c>
      <c r="F4">
        <v>1</v>
      </c>
      <c r="G4">
        <v>1</v>
      </c>
      <c r="H4">
        <v>3</v>
      </c>
      <c r="I4" t="s">
        <v>105</v>
      </c>
      <c r="J4" t="s">
        <v>108</v>
      </c>
      <c r="K4" t="s">
        <v>106</v>
      </c>
      <c r="L4">
        <v>1339</v>
      </c>
      <c r="N4">
        <v>1007</v>
      </c>
      <c r="O4" t="s">
        <v>107</v>
      </c>
      <c r="P4" t="s">
        <v>107</v>
      </c>
      <c r="Q4">
        <v>1</v>
      </c>
      <c r="W4">
        <v>0</v>
      </c>
      <c r="X4">
        <v>626620459</v>
      </c>
      <c r="Y4">
        <f t="shared" si="3"/>
        <v>15</v>
      </c>
      <c r="AA4">
        <v>1158.07</v>
      </c>
      <c r="AB4">
        <v>0</v>
      </c>
      <c r="AC4">
        <v>0</v>
      </c>
      <c r="AD4">
        <v>0</v>
      </c>
      <c r="AE4">
        <v>1062.45</v>
      </c>
      <c r="AF4">
        <v>0</v>
      </c>
      <c r="AG4">
        <v>0</v>
      </c>
      <c r="AH4">
        <v>0</v>
      </c>
      <c r="AI4">
        <v>1.0900000000000001</v>
      </c>
      <c r="AJ4">
        <v>1</v>
      </c>
      <c r="AK4">
        <v>1</v>
      </c>
      <c r="AL4">
        <v>1</v>
      </c>
      <c r="AM4">
        <v>2</v>
      </c>
      <c r="AN4">
        <v>0</v>
      </c>
      <c r="AO4">
        <v>0</v>
      </c>
      <c r="AP4">
        <v>0</v>
      </c>
      <c r="AQ4">
        <v>0</v>
      </c>
      <c r="AR4">
        <v>0</v>
      </c>
      <c r="AS4" t="s">
        <v>3</v>
      </c>
      <c r="AT4">
        <v>15</v>
      </c>
      <c r="AU4" t="s">
        <v>3</v>
      </c>
      <c r="AV4">
        <v>0</v>
      </c>
      <c r="AW4">
        <v>1</v>
      </c>
      <c r="AX4">
        <v>-1</v>
      </c>
      <c r="AY4">
        <v>0</v>
      </c>
      <c r="AZ4">
        <v>0</v>
      </c>
      <c r="BA4" t="s">
        <v>3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CV4">
        <v>0</v>
      </c>
      <c r="CW4">
        <v>0</v>
      </c>
      <c r="CX4">
        <f>ROUND(Y4*Source!I64,7)</f>
        <v>198</v>
      </c>
      <c r="CY4">
        <f>AA4</f>
        <v>1158.07</v>
      </c>
      <c r="CZ4">
        <f>AE4</f>
        <v>1062.45</v>
      </c>
      <c r="DA4">
        <f>AI4</f>
        <v>1.0900000000000001</v>
      </c>
      <c r="DB4">
        <f t="shared" si="4"/>
        <v>15936.75</v>
      </c>
      <c r="DC4">
        <f t="shared" si="5"/>
        <v>0</v>
      </c>
      <c r="DD4" t="s">
        <v>3</v>
      </c>
      <c r="DE4" t="s">
        <v>3</v>
      </c>
      <c r="DF4">
        <f>ROUND(ROUND(AE4*AI4,2)*CX4,2)</f>
        <v>229297.86</v>
      </c>
      <c r="DG4">
        <f t="shared" si="0"/>
        <v>0</v>
      </c>
      <c r="DH4">
        <f t="shared" si="1"/>
        <v>0</v>
      </c>
      <c r="DI4">
        <f t="shared" si="2"/>
        <v>0</v>
      </c>
      <c r="DJ4">
        <f>DF4</f>
        <v>229297.86</v>
      </c>
      <c r="DK4">
        <v>0</v>
      </c>
      <c r="DL4" t="s">
        <v>3</v>
      </c>
      <c r="DM4">
        <v>0</v>
      </c>
      <c r="DN4" t="s">
        <v>3</v>
      </c>
      <c r="DO4">
        <v>0</v>
      </c>
    </row>
    <row r="5" spans="1:119" x14ac:dyDescent="0.2">
      <c r="A5">
        <f>ROW(Source!A66)</f>
        <v>66</v>
      </c>
      <c r="B5">
        <v>65174513</v>
      </c>
      <c r="C5">
        <v>65174675</v>
      </c>
      <c r="D5">
        <v>58933394</v>
      </c>
      <c r="E5">
        <v>109</v>
      </c>
      <c r="F5">
        <v>1</v>
      </c>
      <c r="G5">
        <v>1</v>
      </c>
      <c r="H5">
        <v>1</v>
      </c>
      <c r="I5" t="s">
        <v>301</v>
      </c>
      <c r="J5" t="s">
        <v>3</v>
      </c>
      <c r="K5" t="s">
        <v>302</v>
      </c>
      <c r="L5">
        <v>1369</v>
      </c>
      <c r="N5">
        <v>1013</v>
      </c>
      <c r="O5" t="s">
        <v>303</v>
      </c>
      <c r="P5" t="s">
        <v>303</v>
      </c>
      <c r="Q5">
        <v>1</v>
      </c>
      <c r="W5">
        <v>0</v>
      </c>
      <c r="X5">
        <v>-236928766</v>
      </c>
      <c r="Y5">
        <f t="shared" si="3"/>
        <v>5</v>
      </c>
      <c r="AA5">
        <v>0</v>
      </c>
      <c r="AB5">
        <v>0</v>
      </c>
      <c r="AC5">
        <v>0</v>
      </c>
      <c r="AD5">
        <v>399.03</v>
      </c>
      <c r="AE5">
        <v>0</v>
      </c>
      <c r="AF5">
        <v>0</v>
      </c>
      <c r="AG5">
        <v>0</v>
      </c>
      <c r="AH5">
        <v>399.03</v>
      </c>
      <c r="AI5">
        <v>1</v>
      </c>
      <c r="AJ5">
        <v>1</v>
      </c>
      <c r="AK5">
        <v>1</v>
      </c>
      <c r="AL5">
        <v>1</v>
      </c>
      <c r="AM5">
        <v>-2</v>
      </c>
      <c r="AN5">
        <v>0</v>
      </c>
      <c r="AO5">
        <v>0</v>
      </c>
      <c r="AP5">
        <v>1</v>
      </c>
      <c r="AQ5">
        <v>1</v>
      </c>
      <c r="AR5">
        <v>0</v>
      </c>
      <c r="AS5" t="s">
        <v>3</v>
      </c>
      <c r="AT5">
        <v>5</v>
      </c>
      <c r="AU5" t="s">
        <v>3</v>
      </c>
      <c r="AV5">
        <v>1</v>
      </c>
      <c r="AW5">
        <v>2</v>
      </c>
      <c r="AX5">
        <v>65174682</v>
      </c>
      <c r="AY5">
        <v>1</v>
      </c>
      <c r="AZ5">
        <v>0</v>
      </c>
      <c r="BA5">
        <v>5</v>
      </c>
      <c r="BB5">
        <v>1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1995.1499999999999</v>
      </c>
      <c r="BN5">
        <v>5</v>
      </c>
      <c r="BO5">
        <v>0</v>
      </c>
      <c r="BP5">
        <v>1</v>
      </c>
      <c r="BQ5">
        <v>0</v>
      </c>
      <c r="BR5">
        <v>0</v>
      </c>
      <c r="BS5">
        <v>0</v>
      </c>
      <c r="BT5">
        <v>1995.1499999999999</v>
      </c>
      <c r="BU5">
        <v>5</v>
      </c>
      <c r="BV5">
        <v>0</v>
      </c>
      <c r="BW5">
        <v>1</v>
      </c>
      <c r="CU5">
        <f>ROUND(AT5*Source!I66*AH5*AL5,2)</f>
        <v>26335.98</v>
      </c>
      <c r="CV5">
        <f>ROUND(Y5*Source!I66,7)</f>
        <v>66</v>
      </c>
      <c r="CW5">
        <v>0</v>
      </c>
      <c r="CX5">
        <f>ROUND(Y5*Source!I66,7)</f>
        <v>66</v>
      </c>
      <c r="CY5">
        <f>AD5</f>
        <v>399.03</v>
      </c>
      <c r="CZ5">
        <f>AH5</f>
        <v>399.03</v>
      </c>
      <c r="DA5">
        <f>AL5</f>
        <v>1</v>
      </c>
      <c r="DB5">
        <f t="shared" si="4"/>
        <v>1995.15</v>
      </c>
      <c r="DC5">
        <f t="shared" si="5"/>
        <v>0</v>
      </c>
      <c r="DD5" t="s">
        <v>3</v>
      </c>
      <c r="DE5" t="s">
        <v>3</v>
      </c>
      <c r="DF5">
        <f>ROUND(ROUND(AE5,2)*CX5,2)</f>
        <v>0</v>
      </c>
      <c r="DG5">
        <f t="shared" si="0"/>
        <v>0</v>
      </c>
      <c r="DH5">
        <f t="shared" si="1"/>
        <v>0</v>
      </c>
      <c r="DI5">
        <f t="shared" si="2"/>
        <v>26335.98</v>
      </c>
      <c r="DJ5">
        <f>DI5</f>
        <v>26335.98</v>
      </c>
      <c r="DK5">
        <v>1</v>
      </c>
      <c r="DL5" t="s">
        <v>3</v>
      </c>
      <c r="DM5">
        <v>0</v>
      </c>
      <c r="DN5" t="s">
        <v>3</v>
      </c>
      <c r="DO5">
        <v>0</v>
      </c>
    </row>
    <row r="6" spans="1:119" x14ac:dyDescent="0.2">
      <c r="A6">
        <f>ROW(Source!A66)</f>
        <v>66</v>
      </c>
      <c r="B6">
        <v>65174513</v>
      </c>
      <c r="C6">
        <v>65174675</v>
      </c>
      <c r="D6">
        <v>58933396</v>
      </c>
      <c r="E6">
        <v>109</v>
      </c>
      <c r="F6">
        <v>1</v>
      </c>
      <c r="G6">
        <v>1</v>
      </c>
      <c r="H6">
        <v>1</v>
      </c>
      <c r="I6" t="s">
        <v>304</v>
      </c>
      <c r="J6" t="s">
        <v>3</v>
      </c>
      <c r="K6" t="s">
        <v>305</v>
      </c>
      <c r="L6">
        <v>1369</v>
      </c>
      <c r="N6">
        <v>1013</v>
      </c>
      <c r="O6" t="s">
        <v>303</v>
      </c>
      <c r="P6" t="s">
        <v>303</v>
      </c>
      <c r="Q6">
        <v>1</v>
      </c>
      <c r="W6">
        <v>0</v>
      </c>
      <c r="X6">
        <v>-587036825</v>
      </c>
      <c r="Y6">
        <f t="shared" si="3"/>
        <v>0.67</v>
      </c>
      <c r="AA6">
        <v>0</v>
      </c>
      <c r="AB6">
        <v>0</v>
      </c>
      <c r="AC6">
        <v>0</v>
      </c>
      <c r="AD6">
        <v>435.64</v>
      </c>
      <c r="AE6">
        <v>0</v>
      </c>
      <c r="AF6">
        <v>0</v>
      </c>
      <c r="AG6">
        <v>0</v>
      </c>
      <c r="AH6">
        <v>435.64</v>
      </c>
      <c r="AI6">
        <v>1</v>
      </c>
      <c r="AJ6">
        <v>1</v>
      </c>
      <c r="AK6">
        <v>1</v>
      </c>
      <c r="AL6">
        <v>1</v>
      </c>
      <c r="AM6">
        <v>-2</v>
      </c>
      <c r="AN6">
        <v>0</v>
      </c>
      <c r="AO6">
        <v>0</v>
      </c>
      <c r="AP6">
        <v>1</v>
      </c>
      <c r="AQ6">
        <v>1</v>
      </c>
      <c r="AR6">
        <v>0</v>
      </c>
      <c r="AS6" t="s">
        <v>3</v>
      </c>
      <c r="AT6">
        <v>0.67</v>
      </c>
      <c r="AU6" t="s">
        <v>3</v>
      </c>
      <c r="AV6">
        <v>1</v>
      </c>
      <c r="AW6">
        <v>2</v>
      </c>
      <c r="AX6">
        <v>65174683</v>
      </c>
      <c r="AY6">
        <v>1</v>
      </c>
      <c r="AZ6">
        <v>0</v>
      </c>
      <c r="BA6">
        <v>6</v>
      </c>
      <c r="BB6">
        <v>1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291.87880000000001</v>
      </c>
      <c r="BN6">
        <v>0.67</v>
      </c>
      <c r="BO6">
        <v>0</v>
      </c>
      <c r="BP6">
        <v>1</v>
      </c>
      <c r="BQ6">
        <v>0</v>
      </c>
      <c r="BR6">
        <v>0</v>
      </c>
      <c r="BS6">
        <v>0</v>
      </c>
      <c r="BT6">
        <v>291.87880000000001</v>
      </c>
      <c r="BU6">
        <v>0.67</v>
      </c>
      <c r="BV6">
        <v>0</v>
      </c>
      <c r="BW6">
        <v>1</v>
      </c>
      <c r="CU6">
        <f>ROUND(AT6*Source!I66*AH6*AL6,2)</f>
        <v>3852.8</v>
      </c>
      <c r="CV6">
        <f>ROUND(Y6*Source!I66,7)</f>
        <v>8.8439999999999994</v>
      </c>
      <c r="CW6">
        <v>0</v>
      </c>
      <c r="CX6">
        <f>ROUND(Y6*Source!I66,7)</f>
        <v>8.8439999999999994</v>
      </c>
      <c r="CY6">
        <f>AD6</f>
        <v>435.64</v>
      </c>
      <c r="CZ6">
        <f>AH6</f>
        <v>435.64</v>
      </c>
      <c r="DA6">
        <f>AL6</f>
        <v>1</v>
      </c>
      <c r="DB6">
        <f t="shared" si="4"/>
        <v>291.88</v>
      </c>
      <c r="DC6">
        <f t="shared" si="5"/>
        <v>0</v>
      </c>
      <c r="DD6" t="s">
        <v>3</v>
      </c>
      <c r="DE6" t="s">
        <v>3</v>
      </c>
      <c r="DF6">
        <f>ROUND(ROUND(AE6,2)*CX6,2)</f>
        <v>0</v>
      </c>
      <c r="DG6">
        <f t="shared" si="0"/>
        <v>0</v>
      </c>
      <c r="DH6">
        <f t="shared" si="1"/>
        <v>0</v>
      </c>
      <c r="DI6">
        <f t="shared" si="2"/>
        <v>3852.8</v>
      </c>
      <c r="DJ6">
        <f>DI6</f>
        <v>3852.8</v>
      </c>
      <c r="DK6">
        <v>1</v>
      </c>
      <c r="DL6" t="s">
        <v>3</v>
      </c>
      <c r="DM6">
        <v>0</v>
      </c>
      <c r="DN6" t="s">
        <v>3</v>
      </c>
      <c r="DO6">
        <v>0</v>
      </c>
    </row>
    <row r="7" spans="1:119" x14ac:dyDescent="0.2">
      <c r="A7">
        <f>ROW(Source!A66)</f>
        <v>66</v>
      </c>
      <c r="B7">
        <v>65174513</v>
      </c>
      <c r="C7">
        <v>65174675</v>
      </c>
      <c r="D7">
        <v>37064876</v>
      </c>
      <c r="E7">
        <v>109</v>
      </c>
      <c r="F7">
        <v>1</v>
      </c>
      <c r="G7">
        <v>1</v>
      </c>
      <c r="H7">
        <v>1</v>
      </c>
      <c r="I7" t="s">
        <v>306</v>
      </c>
      <c r="J7" t="s">
        <v>3</v>
      </c>
      <c r="K7" t="s">
        <v>307</v>
      </c>
      <c r="L7">
        <v>1191</v>
      </c>
      <c r="N7">
        <v>1013</v>
      </c>
      <c r="O7" t="s">
        <v>296</v>
      </c>
      <c r="P7" t="s">
        <v>296</v>
      </c>
      <c r="Q7">
        <v>1</v>
      </c>
      <c r="W7">
        <v>0</v>
      </c>
      <c r="X7">
        <v>-1417349443</v>
      </c>
      <c r="Y7">
        <f t="shared" si="3"/>
        <v>1.3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1</v>
      </c>
      <c r="AJ7">
        <v>1</v>
      </c>
      <c r="AK7">
        <v>1</v>
      </c>
      <c r="AL7">
        <v>1</v>
      </c>
      <c r="AM7">
        <v>-2</v>
      </c>
      <c r="AN7">
        <v>0</v>
      </c>
      <c r="AO7">
        <v>0</v>
      </c>
      <c r="AP7">
        <v>1</v>
      </c>
      <c r="AQ7">
        <v>1</v>
      </c>
      <c r="AR7">
        <v>0</v>
      </c>
      <c r="AS7" t="s">
        <v>3</v>
      </c>
      <c r="AT7">
        <v>1.3</v>
      </c>
      <c r="AU7" t="s">
        <v>3</v>
      </c>
      <c r="AV7">
        <v>2</v>
      </c>
      <c r="AW7">
        <v>2</v>
      </c>
      <c r="AX7">
        <v>65174684</v>
      </c>
      <c r="AY7">
        <v>1</v>
      </c>
      <c r="AZ7">
        <v>0</v>
      </c>
      <c r="BA7">
        <v>7</v>
      </c>
      <c r="BB7">
        <v>1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CV7">
        <v>0</v>
      </c>
      <c r="CW7">
        <v>0</v>
      </c>
      <c r="CX7">
        <f>ROUND(Y7*Source!I66,7)</f>
        <v>17.16</v>
      </c>
      <c r="CY7">
        <f>AD7</f>
        <v>0</v>
      </c>
      <c r="CZ7">
        <f>AH7</f>
        <v>0</v>
      </c>
      <c r="DA7">
        <f>AL7</f>
        <v>1</v>
      </c>
      <c r="DB7">
        <f t="shared" si="4"/>
        <v>0</v>
      </c>
      <c r="DC7">
        <f t="shared" si="5"/>
        <v>0</v>
      </c>
      <c r="DD7" t="s">
        <v>3</v>
      </c>
      <c r="DE7" t="s">
        <v>3</v>
      </c>
      <c r="DF7">
        <f>ROUND(ROUND(AE7,2)*CX7,2)</f>
        <v>0</v>
      </c>
      <c r="DG7">
        <f t="shared" si="0"/>
        <v>0</v>
      </c>
      <c r="DH7">
        <f t="shared" si="1"/>
        <v>0</v>
      </c>
      <c r="DI7">
        <f t="shared" si="2"/>
        <v>0</v>
      </c>
      <c r="DJ7">
        <f>DI7</f>
        <v>0</v>
      </c>
      <c r="DK7">
        <v>0</v>
      </c>
      <c r="DL7" t="s">
        <v>3</v>
      </c>
      <c r="DM7">
        <v>0</v>
      </c>
      <c r="DN7" t="s">
        <v>3</v>
      </c>
      <c r="DO7">
        <v>0</v>
      </c>
    </row>
    <row r="8" spans="1:119" x14ac:dyDescent="0.2">
      <c r="A8">
        <f>ROW(Source!A66)</f>
        <v>66</v>
      </c>
      <c r="B8">
        <v>65174513</v>
      </c>
      <c r="C8">
        <v>65174675</v>
      </c>
      <c r="D8">
        <v>59055716</v>
      </c>
      <c r="E8">
        <v>1</v>
      </c>
      <c r="F8">
        <v>1</v>
      </c>
      <c r="G8">
        <v>1</v>
      </c>
      <c r="H8">
        <v>2</v>
      </c>
      <c r="I8" t="s">
        <v>308</v>
      </c>
      <c r="J8" t="s">
        <v>309</v>
      </c>
      <c r="K8" t="s">
        <v>310</v>
      </c>
      <c r="L8">
        <v>1368</v>
      </c>
      <c r="N8">
        <v>1011</v>
      </c>
      <c r="O8" t="s">
        <v>311</v>
      </c>
      <c r="P8" t="s">
        <v>311</v>
      </c>
      <c r="Q8">
        <v>1</v>
      </c>
      <c r="W8">
        <v>0</v>
      </c>
      <c r="X8">
        <v>-1904171325</v>
      </c>
      <c r="Y8">
        <f t="shared" si="3"/>
        <v>1.3</v>
      </c>
      <c r="AA8">
        <v>0</v>
      </c>
      <c r="AB8">
        <v>1283.06</v>
      </c>
      <c r="AC8">
        <v>490.55</v>
      </c>
      <c r="AD8">
        <v>0</v>
      </c>
      <c r="AE8">
        <v>0</v>
      </c>
      <c r="AF8">
        <v>1043.1400000000001</v>
      </c>
      <c r="AG8">
        <v>490.55</v>
      </c>
      <c r="AH8">
        <v>0</v>
      </c>
      <c r="AI8">
        <v>1</v>
      </c>
      <c r="AJ8">
        <v>1.23</v>
      </c>
      <c r="AK8">
        <v>1</v>
      </c>
      <c r="AL8">
        <v>1</v>
      </c>
      <c r="AM8">
        <v>2</v>
      </c>
      <c r="AN8">
        <v>0</v>
      </c>
      <c r="AO8">
        <v>0</v>
      </c>
      <c r="AP8">
        <v>1</v>
      </c>
      <c r="AQ8">
        <v>1</v>
      </c>
      <c r="AR8">
        <v>0</v>
      </c>
      <c r="AS8" t="s">
        <v>3</v>
      </c>
      <c r="AT8">
        <v>1.3</v>
      </c>
      <c r="AU8" t="s">
        <v>3</v>
      </c>
      <c r="AV8">
        <v>1</v>
      </c>
      <c r="AW8">
        <v>2</v>
      </c>
      <c r="AX8">
        <v>65174685</v>
      </c>
      <c r="AY8">
        <v>1</v>
      </c>
      <c r="AZ8">
        <v>0</v>
      </c>
      <c r="BA8">
        <v>8</v>
      </c>
      <c r="BB8">
        <v>1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1356.0820000000001</v>
      </c>
      <c r="BL8">
        <v>637.71500000000003</v>
      </c>
      <c r="BM8">
        <v>0</v>
      </c>
      <c r="BN8">
        <v>0</v>
      </c>
      <c r="BO8">
        <v>1.3</v>
      </c>
      <c r="BP8">
        <v>1</v>
      </c>
      <c r="BQ8">
        <v>0</v>
      </c>
      <c r="BR8">
        <v>1356.0820000000001</v>
      </c>
      <c r="BS8">
        <v>637.71500000000003</v>
      </c>
      <c r="BT8">
        <v>0</v>
      </c>
      <c r="BU8">
        <v>0</v>
      </c>
      <c r="BV8">
        <v>1.3</v>
      </c>
      <c r="BW8">
        <v>1</v>
      </c>
      <c r="CV8">
        <v>0</v>
      </c>
      <c r="CW8">
        <f>ROUND(Y8*Source!I66*DO8,7)</f>
        <v>17.16</v>
      </c>
      <c r="CX8">
        <f>ROUND(Y8*Source!I66,7)</f>
        <v>17.16</v>
      </c>
      <c r="CY8">
        <f>AB8</f>
        <v>1283.06</v>
      </c>
      <c r="CZ8">
        <f>AF8</f>
        <v>1043.1400000000001</v>
      </c>
      <c r="DA8">
        <f>AJ8</f>
        <v>1.23</v>
      </c>
      <c r="DB8">
        <f t="shared" si="4"/>
        <v>1356.08</v>
      </c>
      <c r="DC8">
        <f t="shared" si="5"/>
        <v>637.72</v>
      </c>
      <c r="DD8" t="s">
        <v>3</v>
      </c>
      <c r="DE8" t="s">
        <v>3</v>
      </c>
      <c r="DF8">
        <f>ROUND(ROUND(AE8,2)*CX8,2)</f>
        <v>0</v>
      </c>
      <c r="DG8">
        <f>ROUND(ROUND(AF8*AJ8,2)*CX8,2)</f>
        <v>22017.31</v>
      </c>
      <c r="DH8">
        <f t="shared" si="1"/>
        <v>8417.84</v>
      </c>
      <c r="DI8">
        <f t="shared" si="2"/>
        <v>0</v>
      </c>
      <c r="DJ8">
        <f>DG8+DH8</f>
        <v>30435.15</v>
      </c>
      <c r="DK8">
        <v>0</v>
      </c>
      <c r="DL8" t="s">
        <v>312</v>
      </c>
      <c r="DM8">
        <v>4</v>
      </c>
      <c r="DN8" t="s">
        <v>296</v>
      </c>
      <c r="DO8">
        <v>1</v>
      </c>
    </row>
    <row r="9" spans="1:119" x14ac:dyDescent="0.2">
      <c r="A9">
        <f>ROW(Source!A66)</f>
        <v>66</v>
      </c>
      <c r="B9">
        <v>65174513</v>
      </c>
      <c r="C9">
        <v>65174675</v>
      </c>
      <c r="D9">
        <v>59008756</v>
      </c>
      <c r="E9">
        <v>1</v>
      </c>
      <c r="F9">
        <v>1</v>
      </c>
      <c r="G9">
        <v>1</v>
      </c>
      <c r="H9">
        <v>3</v>
      </c>
      <c r="I9" t="s">
        <v>313</v>
      </c>
      <c r="J9" t="s">
        <v>314</v>
      </c>
      <c r="K9" t="s">
        <v>315</v>
      </c>
      <c r="L9">
        <v>1339</v>
      </c>
      <c r="N9">
        <v>1007</v>
      </c>
      <c r="O9" t="s">
        <v>107</v>
      </c>
      <c r="P9" t="s">
        <v>107</v>
      </c>
      <c r="Q9">
        <v>1</v>
      </c>
      <c r="W9">
        <v>0</v>
      </c>
      <c r="X9">
        <v>-555778344</v>
      </c>
      <c r="Y9">
        <f t="shared" si="3"/>
        <v>10</v>
      </c>
      <c r="AA9">
        <v>49.99</v>
      </c>
      <c r="AB9">
        <v>0</v>
      </c>
      <c r="AC9">
        <v>0</v>
      </c>
      <c r="AD9">
        <v>0</v>
      </c>
      <c r="AE9">
        <v>35.71</v>
      </c>
      <c r="AF9">
        <v>0</v>
      </c>
      <c r="AG9">
        <v>0</v>
      </c>
      <c r="AH9">
        <v>0</v>
      </c>
      <c r="AI9">
        <v>1.4</v>
      </c>
      <c r="AJ9">
        <v>1</v>
      </c>
      <c r="AK9">
        <v>1</v>
      </c>
      <c r="AL9">
        <v>1</v>
      </c>
      <c r="AM9">
        <v>2</v>
      </c>
      <c r="AN9">
        <v>0</v>
      </c>
      <c r="AO9">
        <v>0</v>
      </c>
      <c r="AP9">
        <v>0</v>
      </c>
      <c r="AQ9">
        <v>1</v>
      </c>
      <c r="AR9">
        <v>0</v>
      </c>
      <c r="AS9" t="s">
        <v>3</v>
      </c>
      <c r="AT9">
        <v>10</v>
      </c>
      <c r="AU9" t="s">
        <v>3</v>
      </c>
      <c r="AV9">
        <v>0</v>
      </c>
      <c r="AW9">
        <v>2</v>
      </c>
      <c r="AX9">
        <v>65174686</v>
      </c>
      <c r="AY9">
        <v>1</v>
      </c>
      <c r="AZ9">
        <v>0</v>
      </c>
      <c r="BA9">
        <v>9</v>
      </c>
      <c r="BB9">
        <v>1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357.1</v>
      </c>
      <c r="BK9">
        <v>0</v>
      </c>
      <c r="BL9">
        <v>0</v>
      </c>
      <c r="BM9">
        <v>0</v>
      </c>
      <c r="BN9">
        <v>0</v>
      </c>
      <c r="BO9">
        <v>0</v>
      </c>
      <c r="BP9">
        <v>1</v>
      </c>
      <c r="BQ9">
        <v>357.1</v>
      </c>
      <c r="BR9">
        <v>0</v>
      </c>
      <c r="BS9">
        <v>0</v>
      </c>
      <c r="BT9">
        <v>0</v>
      </c>
      <c r="BU9">
        <v>0</v>
      </c>
      <c r="BV9">
        <v>0</v>
      </c>
      <c r="BW9">
        <v>1</v>
      </c>
      <c r="CV9">
        <v>0</v>
      </c>
      <c r="CW9">
        <v>0</v>
      </c>
      <c r="CX9">
        <f>ROUND(Y9*Source!I66,7)</f>
        <v>132</v>
      </c>
      <c r="CY9">
        <f>AA9</f>
        <v>49.99</v>
      </c>
      <c r="CZ9">
        <f>AE9</f>
        <v>35.71</v>
      </c>
      <c r="DA9">
        <f>AI9</f>
        <v>1.4</v>
      </c>
      <c r="DB9">
        <f t="shared" si="4"/>
        <v>357.1</v>
      </c>
      <c r="DC9">
        <f t="shared" si="5"/>
        <v>0</v>
      </c>
      <c r="DD9" t="s">
        <v>3</v>
      </c>
      <c r="DE9" t="s">
        <v>3</v>
      </c>
      <c r="DF9">
        <f>ROUND(ROUND(AE9*AI9,2)*CX9,2)</f>
        <v>6598.68</v>
      </c>
      <c r="DG9">
        <f>ROUND(ROUND(AF9,2)*CX9,2)</f>
        <v>0</v>
      </c>
      <c r="DH9">
        <f t="shared" si="1"/>
        <v>0</v>
      </c>
      <c r="DI9">
        <f t="shared" si="2"/>
        <v>0</v>
      </c>
      <c r="DJ9">
        <f>DF9</f>
        <v>6598.68</v>
      </c>
      <c r="DK9">
        <v>0</v>
      </c>
      <c r="DL9" t="s">
        <v>3</v>
      </c>
      <c r="DM9">
        <v>0</v>
      </c>
      <c r="DN9" t="s">
        <v>3</v>
      </c>
      <c r="DO9">
        <v>0</v>
      </c>
    </row>
    <row r="10" spans="1:119" x14ac:dyDescent="0.2">
      <c r="A10">
        <f>ROW(Source!A66)</f>
        <v>66</v>
      </c>
      <c r="B10">
        <v>65174513</v>
      </c>
      <c r="C10">
        <v>65174675</v>
      </c>
      <c r="D10">
        <v>59026750</v>
      </c>
      <c r="E10">
        <v>1</v>
      </c>
      <c r="F10">
        <v>1</v>
      </c>
      <c r="G10">
        <v>1</v>
      </c>
      <c r="H10">
        <v>3</v>
      </c>
      <c r="I10" t="s">
        <v>115</v>
      </c>
      <c r="J10" t="s">
        <v>118</v>
      </c>
      <c r="K10" t="s">
        <v>116</v>
      </c>
      <c r="L10">
        <v>1346</v>
      </c>
      <c r="N10">
        <v>1009</v>
      </c>
      <c r="O10" t="s">
        <v>117</v>
      </c>
      <c r="P10" t="s">
        <v>117</v>
      </c>
      <c r="Q10">
        <v>1</v>
      </c>
      <c r="W10">
        <v>0</v>
      </c>
      <c r="X10">
        <v>-864935114</v>
      </c>
      <c r="Y10">
        <f t="shared" si="3"/>
        <v>2</v>
      </c>
      <c r="AA10">
        <v>304.14</v>
      </c>
      <c r="AB10">
        <v>0</v>
      </c>
      <c r="AC10">
        <v>0</v>
      </c>
      <c r="AD10">
        <v>0</v>
      </c>
      <c r="AE10">
        <v>271.55</v>
      </c>
      <c r="AF10">
        <v>0</v>
      </c>
      <c r="AG10">
        <v>0</v>
      </c>
      <c r="AH10">
        <v>0</v>
      </c>
      <c r="AI10">
        <v>1.1200000000000001</v>
      </c>
      <c r="AJ10">
        <v>1</v>
      </c>
      <c r="AK10">
        <v>1</v>
      </c>
      <c r="AL10">
        <v>1</v>
      </c>
      <c r="AM10">
        <v>2</v>
      </c>
      <c r="AN10">
        <v>0</v>
      </c>
      <c r="AO10">
        <v>0</v>
      </c>
      <c r="AP10">
        <v>0</v>
      </c>
      <c r="AQ10">
        <v>0</v>
      </c>
      <c r="AR10">
        <v>0</v>
      </c>
      <c r="AS10" t="s">
        <v>3</v>
      </c>
      <c r="AT10">
        <v>2</v>
      </c>
      <c r="AU10" t="s">
        <v>3</v>
      </c>
      <c r="AV10">
        <v>0</v>
      </c>
      <c r="AW10">
        <v>1</v>
      </c>
      <c r="AX10">
        <v>-1</v>
      </c>
      <c r="AY10">
        <v>0</v>
      </c>
      <c r="AZ10">
        <v>0</v>
      </c>
      <c r="BA10" t="s">
        <v>3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CV10">
        <v>0</v>
      </c>
      <c r="CW10">
        <v>0</v>
      </c>
      <c r="CX10">
        <f>ROUND(Y10*Source!I66,7)</f>
        <v>26.4</v>
      </c>
      <c r="CY10">
        <f>AA10</f>
        <v>304.14</v>
      </c>
      <c r="CZ10">
        <f>AE10</f>
        <v>271.55</v>
      </c>
      <c r="DA10">
        <f>AI10</f>
        <v>1.1200000000000001</v>
      </c>
      <c r="DB10">
        <f t="shared" si="4"/>
        <v>543.1</v>
      </c>
      <c r="DC10">
        <f t="shared" si="5"/>
        <v>0</v>
      </c>
      <c r="DD10" t="s">
        <v>3</v>
      </c>
      <c r="DE10" t="s">
        <v>3</v>
      </c>
      <c r="DF10">
        <f>ROUND(ROUND(AE10*AI10,2)*CX10,2)</f>
        <v>8029.3</v>
      </c>
      <c r="DG10">
        <f>ROUND(ROUND(AF10,2)*CX10,2)</f>
        <v>0</v>
      </c>
      <c r="DH10">
        <f t="shared" si="1"/>
        <v>0</v>
      </c>
      <c r="DI10">
        <f t="shared" si="2"/>
        <v>0</v>
      </c>
      <c r="DJ10">
        <f>DF10</f>
        <v>8029.3</v>
      </c>
      <c r="DK10">
        <v>0</v>
      </c>
      <c r="DL10" t="s">
        <v>3</v>
      </c>
      <c r="DM10">
        <v>0</v>
      </c>
      <c r="DN10" t="s">
        <v>3</v>
      </c>
      <c r="DO10">
        <v>0</v>
      </c>
    </row>
    <row r="11" spans="1:119" x14ac:dyDescent="0.2">
      <c r="A11">
        <f>ROW(Source!A103)</f>
        <v>103</v>
      </c>
      <c r="B11">
        <v>65174513</v>
      </c>
      <c r="C11">
        <v>65174746</v>
      </c>
      <c r="D11">
        <v>37064878</v>
      </c>
      <c r="E11">
        <v>109</v>
      </c>
      <c r="F11">
        <v>1</v>
      </c>
      <c r="G11">
        <v>1</v>
      </c>
      <c r="H11">
        <v>1</v>
      </c>
      <c r="I11" t="s">
        <v>316</v>
      </c>
      <c r="J11" t="s">
        <v>3</v>
      </c>
      <c r="K11" t="s">
        <v>317</v>
      </c>
      <c r="L11">
        <v>1191</v>
      </c>
      <c r="N11">
        <v>1013</v>
      </c>
      <c r="O11" t="s">
        <v>296</v>
      </c>
      <c r="P11" t="s">
        <v>296</v>
      </c>
      <c r="Q11">
        <v>1</v>
      </c>
      <c r="W11">
        <v>0</v>
      </c>
      <c r="X11">
        <v>-2012709214</v>
      </c>
      <c r="Y11">
        <f t="shared" ref="Y11:Y16" si="6">(AT11*ROUND(0.3,7))</f>
        <v>5.2320000000000002</v>
      </c>
      <c r="AA11">
        <v>0</v>
      </c>
      <c r="AB11">
        <v>0</v>
      </c>
      <c r="AC11">
        <v>0</v>
      </c>
      <c r="AD11">
        <v>479.56</v>
      </c>
      <c r="AE11">
        <v>0</v>
      </c>
      <c r="AF11">
        <v>0</v>
      </c>
      <c r="AG11">
        <v>0</v>
      </c>
      <c r="AH11">
        <v>479.56</v>
      </c>
      <c r="AI11">
        <v>1</v>
      </c>
      <c r="AJ11">
        <v>1</v>
      </c>
      <c r="AK11">
        <v>1</v>
      </c>
      <c r="AL11">
        <v>1</v>
      </c>
      <c r="AM11">
        <v>-2</v>
      </c>
      <c r="AN11">
        <v>0</v>
      </c>
      <c r="AO11">
        <v>0</v>
      </c>
      <c r="AP11">
        <v>1</v>
      </c>
      <c r="AQ11">
        <v>1</v>
      </c>
      <c r="AR11">
        <v>0</v>
      </c>
      <c r="AS11" t="s">
        <v>3</v>
      </c>
      <c r="AT11">
        <v>17.440000000000001</v>
      </c>
      <c r="AU11" t="s">
        <v>127</v>
      </c>
      <c r="AV11">
        <v>1</v>
      </c>
      <c r="AW11">
        <v>2</v>
      </c>
      <c r="AX11">
        <v>65174759</v>
      </c>
      <c r="AY11">
        <v>1</v>
      </c>
      <c r="AZ11">
        <v>0</v>
      </c>
      <c r="BA11">
        <v>11</v>
      </c>
      <c r="BB11">
        <v>1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8363.5264000000006</v>
      </c>
      <c r="BN11">
        <v>17.440000000000001</v>
      </c>
      <c r="BO11">
        <v>0</v>
      </c>
      <c r="BP11">
        <v>1</v>
      </c>
      <c r="BQ11">
        <v>0</v>
      </c>
      <c r="BR11">
        <v>0</v>
      </c>
      <c r="BS11">
        <v>0</v>
      </c>
      <c r="BT11">
        <v>2509.0579200000002</v>
      </c>
      <c r="BU11">
        <v>5.2320000000000002</v>
      </c>
      <c r="BV11">
        <v>0</v>
      </c>
      <c r="BW11">
        <v>1</v>
      </c>
      <c r="CU11">
        <f>ROUND(AT11*Source!I103*AH11*AL11,2)</f>
        <v>220797.1</v>
      </c>
      <c r="CV11">
        <f>ROUND(Y11*Source!I103,7)</f>
        <v>138.12479999999999</v>
      </c>
      <c r="CW11">
        <v>0</v>
      </c>
      <c r="CX11">
        <f>ROUND(Y11*Source!I103,7)</f>
        <v>138.12479999999999</v>
      </c>
      <c r="CY11">
        <f>AD11</f>
        <v>479.56</v>
      </c>
      <c r="CZ11">
        <f>AH11</f>
        <v>479.56</v>
      </c>
      <c r="DA11">
        <f>AL11</f>
        <v>1</v>
      </c>
      <c r="DB11">
        <f t="shared" ref="DB11:DB16" si="7">ROUND((ROUND(AT11*CZ11,2)*ROUND(0.3,7)),6)</f>
        <v>2509.0590000000002</v>
      </c>
      <c r="DC11">
        <f t="shared" ref="DC11:DC16" si="8">ROUND((ROUND(AT11*AG11,2)*ROUND(0.3,7)),6)</f>
        <v>0</v>
      </c>
      <c r="DD11" t="s">
        <v>3</v>
      </c>
      <c r="DE11" t="s">
        <v>3</v>
      </c>
      <c r="DF11">
        <f t="shared" ref="DF11:DF16" si="9">ROUND(ROUND(AE11,2)*CX11,2)</f>
        <v>0</v>
      </c>
      <c r="DG11">
        <f>ROUND(ROUND(AF11,2)*CX11,2)</f>
        <v>0</v>
      </c>
      <c r="DH11">
        <f t="shared" si="1"/>
        <v>0</v>
      </c>
      <c r="DI11">
        <f t="shared" si="2"/>
        <v>66239.13</v>
      </c>
      <c r="DJ11">
        <f>DI11</f>
        <v>66239.13</v>
      </c>
      <c r="DK11">
        <v>1</v>
      </c>
      <c r="DL11" t="s">
        <v>3</v>
      </c>
      <c r="DM11">
        <v>0</v>
      </c>
      <c r="DN11" t="s">
        <v>3</v>
      </c>
      <c r="DO11">
        <v>0</v>
      </c>
    </row>
    <row r="12" spans="1:119" x14ac:dyDescent="0.2">
      <c r="A12">
        <f>ROW(Source!A103)</f>
        <v>103</v>
      </c>
      <c r="B12">
        <v>65174513</v>
      </c>
      <c r="C12">
        <v>65174746</v>
      </c>
      <c r="D12">
        <v>37064876</v>
      </c>
      <c r="E12">
        <v>109</v>
      </c>
      <c r="F12">
        <v>1</v>
      </c>
      <c r="G12">
        <v>1</v>
      </c>
      <c r="H12">
        <v>1</v>
      </c>
      <c r="I12" t="s">
        <v>306</v>
      </c>
      <c r="J12" t="s">
        <v>3</v>
      </c>
      <c r="K12" t="s">
        <v>307</v>
      </c>
      <c r="L12">
        <v>1191</v>
      </c>
      <c r="N12">
        <v>1013</v>
      </c>
      <c r="O12" t="s">
        <v>296</v>
      </c>
      <c r="P12" t="s">
        <v>296</v>
      </c>
      <c r="Q12">
        <v>1</v>
      </c>
      <c r="W12">
        <v>0</v>
      </c>
      <c r="X12">
        <v>-1417349443</v>
      </c>
      <c r="Y12">
        <f t="shared" si="6"/>
        <v>0.79200000000000004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1</v>
      </c>
      <c r="AJ12">
        <v>1</v>
      </c>
      <c r="AK12">
        <v>1</v>
      </c>
      <c r="AL12">
        <v>1</v>
      </c>
      <c r="AM12">
        <v>-2</v>
      </c>
      <c r="AN12">
        <v>0</v>
      </c>
      <c r="AO12">
        <v>0</v>
      </c>
      <c r="AP12">
        <v>1</v>
      </c>
      <c r="AQ12">
        <v>1</v>
      </c>
      <c r="AR12">
        <v>0</v>
      </c>
      <c r="AS12" t="s">
        <v>3</v>
      </c>
      <c r="AT12">
        <v>2.64</v>
      </c>
      <c r="AU12" t="s">
        <v>127</v>
      </c>
      <c r="AV12">
        <v>2</v>
      </c>
      <c r="AW12">
        <v>2</v>
      </c>
      <c r="AX12">
        <v>65174760</v>
      </c>
      <c r="AY12">
        <v>1</v>
      </c>
      <c r="AZ12">
        <v>0</v>
      </c>
      <c r="BA12">
        <v>12</v>
      </c>
      <c r="BB12">
        <v>1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CV12">
        <v>0</v>
      </c>
      <c r="CW12">
        <v>0</v>
      </c>
      <c r="CX12">
        <f>ROUND(Y12*Source!I103,7)</f>
        <v>20.908799999999999</v>
      </c>
      <c r="CY12">
        <f>AD12</f>
        <v>0</v>
      </c>
      <c r="CZ12">
        <f>AH12</f>
        <v>0</v>
      </c>
      <c r="DA12">
        <f>AL12</f>
        <v>1</v>
      </c>
      <c r="DB12">
        <f t="shared" si="7"/>
        <v>0</v>
      </c>
      <c r="DC12">
        <f t="shared" si="8"/>
        <v>0</v>
      </c>
      <c r="DD12" t="s">
        <v>3</v>
      </c>
      <c r="DE12" t="s">
        <v>3</v>
      </c>
      <c r="DF12">
        <f t="shared" si="9"/>
        <v>0</v>
      </c>
      <c r="DG12">
        <f>ROUND(ROUND(AF12,2)*CX12,2)</f>
        <v>0</v>
      </c>
      <c r="DH12">
        <f t="shared" si="1"/>
        <v>0</v>
      </c>
      <c r="DI12">
        <f t="shared" si="2"/>
        <v>0</v>
      </c>
      <c r="DJ12">
        <f>DI12</f>
        <v>0</v>
      </c>
      <c r="DK12">
        <v>0</v>
      </c>
      <c r="DL12" t="s">
        <v>3</v>
      </c>
      <c r="DM12">
        <v>0</v>
      </c>
      <c r="DN12" t="s">
        <v>3</v>
      </c>
      <c r="DO12">
        <v>0</v>
      </c>
    </row>
    <row r="13" spans="1:119" x14ac:dyDescent="0.2">
      <c r="A13">
        <f>ROW(Source!A103)</f>
        <v>103</v>
      </c>
      <c r="B13">
        <v>65174513</v>
      </c>
      <c r="C13">
        <v>65174746</v>
      </c>
      <c r="D13">
        <v>59054880</v>
      </c>
      <c r="E13">
        <v>1</v>
      </c>
      <c r="F13">
        <v>1</v>
      </c>
      <c r="G13">
        <v>1</v>
      </c>
      <c r="H13">
        <v>2</v>
      </c>
      <c r="I13" t="s">
        <v>318</v>
      </c>
      <c r="J13" t="s">
        <v>319</v>
      </c>
      <c r="K13" t="s">
        <v>320</v>
      </c>
      <c r="L13">
        <v>1368</v>
      </c>
      <c r="N13">
        <v>1011</v>
      </c>
      <c r="O13" t="s">
        <v>311</v>
      </c>
      <c r="P13" t="s">
        <v>311</v>
      </c>
      <c r="Q13">
        <v>1</v>
      </c>
      <c r="W13">
        <v>0</v>
      </c>
      <c r="X13">
        <v>-776243211</v>
      </c>
      <c r="Y13">
        <f t="shared" si="6"/>
        <v>0.39600000000000002</v>
      </c>
      <c r="AA13">
        <v>0</v>
      </c>
      <c r="AB13">
        <v>1551.19</v>
      </c>
      <c r="AC13">
        <v>658.94</v>
      </c>
      <c r="AD13">
        <v>0</v>
      </c>
      <c r="AE13">
        <v>0</v>
      </c>
      <c r="AF13">
        <v>1551.19</v>
      </c>
      <c r="AG13">
        <v>658.94</v>
      </c>
      <c r="AH13">
        <v>0</v>
      </c>
      <c r="AI13">
        <v>1</v>
      </c>
      <c r="AJ13">
        <v>1</v>
      </c>
      <c r="AK13">
        <v>1</v>
      </c>
      <c r="AL13">
        <v>1</v>
      </c>
      <c r="AM13">
        <v>-2</v>
      </c>
      <c r="AN13">
        <v>0</v>
      </c>
      <c r="AO13">
        <v>0</v>
      </c>
      <c r="AP13">
        <v>1</v>
      </c>
      <c r="AQ13">
        <v>1</v>
      </c>
      <c r="AR13">
        <v>0</v>
      </c>
      <c r="AS13" t="s">
        <v>3</v>
      </c>
      <c r="AT13">
        <v>1.32</v>
      </c>
      <c r="AU13" t="s">
        <v>127</v>
      </c>
      <c r="AV13">
        <v>1</v>
      </c>
      <c r="AW13">
        <v>2</v>
      </c>
      <c r="AX13">
        <v>65174761</v>
      </c>
      <c r="AY13">
        <v>1</v>
      </c>
      <c r="AZ13">
        <v>0</v>
      </c>
      <c r="BA13">
        <v>13</v>
      </c>
      <c r="BB13">
        <v>1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2047.5708000000002</v>
      </c>
      <c r="BL13">
        <v>869.80080000000009</v>
      </c>
      <c r="BM13">
        <v>0</v>
      </c>
      <c r="BN13">
        <v>0</v>
      </c>
      <c r="BO13">
        <v>1.32</v>
      </c>
      <c r="BP13">
        <v>1</v>
      </c>
      <c r="BQ13">
        <v>0</v>
      </c>
      <c r="BR13">
        <v>614.27124000000003</v>
      </c>
      <c r="BS13">
        <v>260.94024000000002</v>
      </c>
      <c r="BT13">
        <v>0</v>
      </c>
      <c r="BU13">
        <v>0</v>
      </c>
      <c r="BV13">
        <v>0.39600000000000002</v>
      </c>
      <c r="BW13">
        <v>1</v>
      </c>
      <c r="CV13">
        <v>0</v>
      </c>
      <c r="CW13">
        <f>ROUND(Y13*Source!I103*DO13,7)</f>
        <v>10.4544</v>
      </c>
      <c r="CX13">
        <f>ROUND(Y13*Source!I103,7)</f>
        <v>10.4544</v>
      </c>
      <c r="CY13">
        <f>AB13</f>
        <v>1551.19</v>
      </c>
      <c r="CZ13">
        <f>AF13</f>
        <v>1551.19</v>
      </c>
      <c r="DA13">
        <f>AJ13</f>
        <v>1</v>
      </c>
      <c r="DB13">
        <f t="shared" si="7"/>
        <v>614.27099999999996</v>
      </c>
      <c r="DC13">
        <f t="shared" si="8"/>
        <v>260.94</v>
      </c>
      <c r="DD13" t="s">
        <v>3</v>
      </c>
      <c r="DE13" t="s">
        <v>3</v>
      </c>
      <c r="DF13">
        <f t="shared" si="9"/>
        <v>0</v>
      </c>
      <c r="DG13">
        <f>ROUND(ROUND(AF13,2)*CX13,2)</f>
        <v>16216.76</v>
      </c>
      <c r="DH13">
        <f t="shared" si="1"/>
        <v>6888.82</v>
      </c>
      <c r="DI13">
        <f t="shared" si="2"/>
        <v>0</v>
      </c>
      <c r="DJ13">
        <f>DG13+DH13</f>
        <v>23105.58</v>
      </c>
      <c r="DK13">
        <v>1</v>
      </c>
      <c r="DL13" t="s">
        <v>321</v>
      </c>
      <c r="DM13">
        <v>6</v>
      </c>
      <c r="DN13" t="s">
        <v>296</v>
      </c>
      <c r="DO13">
        <v>1</v>
      </c>
    </row>
    <row r="14" spans="1:119" x14ac:dyDescent="0.2">
      <c r="A14">
        <f>ROW(Source!A103)</f>
        <v>103</v>
      </c>
      <c r="B14">
        <v>65174513</v>
      </c>
      <c r="C14">
        <v>65174746</v>
      </c>
      <c r="D14">
        <v>59054978</v>
      </c>
      <c r="E14">
        <v>1</v>
      </c>
      <c r="F14">
        <v>1</v>
      </c>
      <c r="G14">
        <v>1</v>
      </c>
      <c r="H14">
        <v>2</v>
      </c>
      <c r="I14" t="s">
        <v>322</v>
      </c>
      <c r="J14" t="s">
        <v>323</v>
      </c>
      <c r="K14" t="s">
        <v>324</v>
      </c>
      <c r="L14">
        <v>1368</v>
      </c>
      <c r="N14">
        <v>1011</v>
      </c>
      <c r="O14" t="s">
        <v>311</v>
      </c>
      <c r="P14" t="s">
        <v>311</v>
      </c>
      <c r="Q14">
        <v>1</v>
      </c>
      <c r="W14">
        <v>0</v>
      </c>
      <c r="X14">
        <v>-2097933609</v>
      </c>
      <c r="Y14">
        <f t="shared" si="6"/>
        <v>1.1910000000000001</v>
      </c>
      <c r="AA14">
        <v>0</v>
      </c>
      <c r="AB14">
        <v>2.54</v>
      </c>
      <c r="AC14">
        <v>0</v>
      </c>
      <c r="AD14">
        <v>0</v>
      </c>
      <c r="AE14">
        <v>0</v>
      </c>
      <c r="AF14">
        <v>1.75</v>
      </c>
      <c r="AG14">
        <v>0</v>
      </c>
      <c r="AH14">
        <v>0</v>
      </c>
      <c r="AI14">
        <v>1</v>
      </c>
      <c r="AJ14">
        <v>1.45</v>
      </c>
      <c r="AK14">
        <v>1</v>
      </c>
      <c r="AL14">
        <v>1</v>
      </c>
      <c r="AM14">
        <v>2</v>
      </c>
      <c r="AN14">
        <v>0</v>
      </c>
      <c r="AO14">
        <v>0</v>
      </c>
      <c r="AP14">
        <v>1</v>
      </c>
      <c r="AQ14">
        <v>1</v>
      </c>
      <c r="AR14">
        <v>0</v>
      </c>
      <c r="AS14" t="s">
        <v>3</v>
      </c>
      <c r="AT14">
        <v>3.97</v>
      </c>
      <c r="AU14" t="s">
        <v>127</v>
      </c>
      <c r="AV14">
        <v>1</v>
      </c>
      <c r="AW14">
        <v>2</v>
      </c>
      <c r="AX14">
        <v>65174762</v>
      </c>
      <c r="AY14">
        <v>1</v>
      </c>
      <c r="AZ14">
        <v>0</v>
      </c>
      <c r="BA14">
        <v>14</v>
      </c>
      <c r="BB14">
        <v>1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6.9475000000000007</v>
      </c>
      <c r="BL14">
        <v>0</v>
      </c>
      <c r="BM14">
        <v>0</v>
      </c>
      <c r="BN14">
        <v>0</v>
      </c>
      <c r="BO14">
        <v>0</v>
      </c>
      <c r="BP14">
        <v>1</v>
      </c>
      <c r="BQ14">
        <v>0</v>
      </c>
      <c r="BR14">
        <v>2.0842499999999999</v>
      </c>
      <c r="BS14">
        <v>0</v>
      </c>
      <c r="BT14">
        <v>0</v>
      </c>
      <c r="BU14">
        <v>0</v>
      </c>
      <c r="BV14">
        <v>0</v>
      </c>
      <c r="BW14">
        <v>1</v>
      </c>
      <c r="CV14">
        <v>0</v>
      </c>
      <c r="CW14">
        <f>ROUND(Y14*Source!I103*DO14,7)</f>
        <v>0</v>
      </c>
      <c r="CX14">
        <f>ROUND(Y14*Source!I103,7)</f>
        <v>31.442399999999999</v>
      </c>
      <c r="CY14">
        <f>AB14</f>
        <v>2.54</v>
      </c>
      <c r="CZ14">
        <f>AF14</f>
        <v>1.75</v>
      </c>
      <c r="DA14">
        <f>AJ14</f>
        <v>1.45</v>
      </c>
      <c r="DB14">
        <f t="shared" si="7"/>
        <v>2.085</v>
      </c>
      <c r="DC14">
        <f t="shared" si="8"/>
        <v>0</v>
      </c>
      <c r="DD14" t="s">
        <v>3</v>
      </c>
      <c r="DE14" t="s">
        <v>3</v>
      </c>
      <c r="DF14">
        <f t="shared" si="9"/>
        <v>0</v>
      </c>
      <c r="DG14">
        <f>ROUND(ROUND(AF14*AJ14,2)*CX14,2)</f>
        <v>79.86</v>
      </c>
      <c r="DH14">
        <f t="shared" si="1"/>
        <v>0</v>
      </c>
      <c r="DI14">
        <f t="shared" si="2"/>
        <v>0</v>
      </c>
      <c r="DJ14">
        <f>DG14+DH14</f>
        <v>79.86</v>
      </c>
      <c r="DK14">
        <v>0</v>
      </c>
      <c r="DL14" t="s">
        <v>3</v>
      </c>
      <c r="DM14">
        <v>0</v>
      </c>
      <c r="DN14" t="s">
        <v>3</v>
      </c>
      <c r="DO14">
        <v>0</v>
      </c>
    </row>
    <row r="15" spans="1:119" x14ac:dyDescent="0.2">
      <c r="A15">
        <f>ROW(Source!A103)</f>
        <v>103</v>
      </c>
      <c r="B15">
        <v>65174513</v>
      </c>
      <c r="C15">
        <v>65174746</v>
      </c>
      <c r="D15">
        <v>59055022</v>
      </c>
      <c r="E15">
        <v>1</v>
      </c>
      <c r="F15">
        <v>1</v>
      </c>
      <c r="G15">
        <v>1</v>
      </c>
      <c r="H15">
        <v>2</v>
      </c>
      <c r="I15" t="s">
        <v>325</v>
      </c>
      <c r="J15" t="s">
        <v>326</v>
      </c>
      <c r="K15" t="s">
        <v>327</v>
      </c>
      <c r="L15">
        <v>1368</v>
      </c>
      <c r="N15">
        <v>1011</v>
      </c>
      <c r="O15" t="s">
        <v>311</v>
      </c>
      <c r="P15" t="s">
        <v>311</v>
      </c>
      <c r="Q15">
        <v>1</v>
      </c>
      <c r="W15">
        <v>0</v>
      </c>
      <c r="X15">
        <v>-1009344388</v>
      </c>
      <c r="Y15">
        <f t="shared" si="6"/>
        <v>1.1910000000000001</v>
      </c>
      <c r="AA15">
        <v>0</v>
      </c>
      <c r="AB15">
        <v>18.28</v>
      </c>
      <c r="AC15">
        <v>0</v>
      </c>
      <c r="AD15">
        <v>0</v>
      </c>
      <c r="AE15">
        <v>0</v>
      </c>
      <c r="AF15">
        <v>13.44</v>
      </c>
      <c r="AG15">
        <v>0</v>
      </c>
      <c r="AH15">
        <v>0</v>
      </c>
      <c r="AI15">
        <v>1</v>
      </c>
      <c r="AJ15">
        <v>1.36</v>
      </c>
      <c r="AK15">
        <v>1</v>
      </c>
      <c r="AL15">
        <v>1</v>
      </c>
      <c r="AM15">
        <v>2</v>
      </c>
      <c r="AN15">
        <v>0</v>
      </c>
      <c r="AO15">
        <v>0</v>
      </c>
      <c r="AP15">
        <v>1</v>
      </c>
      <c r="AQ15">
        <v>1</v>
      </c>
      <c r="AR15">
        <v>0</v>
      </c>
      <c r="AS15" t="s">
        <v>3</v>
      </c>
      <c r="AT15">
        <v>3.97</v>
      </c>
      <c r="AU15" t="s">
        <v>127</v>
      </c>
      <c r="AV15">
        <v>1</v>
      </c>
      <c r="AW15">
        <v>2</v>
      </c>
      <c r="AX15">
        <v>65174763</v>
      </c>
      <c r="AY15">
        <v>1</v>
      </c>
      <c r="AZ15">
        <v>0</v>
      </c>
      <c r="BA15">
        <v>15</v>
      </c>
      <c r="BB15">
        <v>1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53.3568</v>
      </c>
      <c r="BL15">
        <v>0</v>
      </c>
      <c r="BM15">
        <v>0</v>
      </c>
      <c r="BN15">
        <v>0</v>
      </c>
      <c r="BO15">
        <v>0</v>
      </c>
      <c r="BP15">
        <v>1</v>
      </c>
      <c r="BQ15">
        <v>0</v>
      </c>
      <c r="BR15">
        <v>16.00704</v>
      </c>
      <c r="BS15">
        <v>0</v>
      </c>
      <c r="BT15">
        <v>0</v>
      </c>
      <c r="BU15">
        <v>0</v>
      </c>
      <c r="BV15">
        <v>0</v>
      </c>
      <c r="BW15">
        <v>1</v>
      </c>
      <c r="CV15">
        <v>0</v>
      </c>
      <c r="CW15">
        <f>ROUND(Y15*Source!I103*DO15,7)</f>
        <v>0</v>
      </c>
      <c r="CX15">
        <f>ROUND(Y15*Source!I103,7)</f>
        <v>31.442399999999999</v>
      </c>
      <c r="CY15">
        <f>AB15</f>
        <v>18.28</v>
      </c>
      <c r="CZ15">
        <f>AF15</f>
        <v>13.44</v>
      </c>
      <c r="DA15">
        <f>AJ15</f>
        <v>1.36</v>
      </c>
      <c r="DB15">
        <f t="shared" si="7"/>
        <v>16.007999999999999</v>
      </c>
      <c r="DC15">
        <f t="shared" si="8"/>
        <v>0</v>
      </c>
      <c r="DD15" t="s">
        <v>3</v>
      </c>
      <c r="DE15" t="s">
        <v>3</v>
      </c>
      <c r="DF15">
        <f t="shared" si="9"/>
        <v>0</v>
      </c>
      <c r="DG15">
        <f>ROUND(ROUND(AF15*AJ15,2)*CX15,2)</f>
        <v>574.77</v>
      </c>
      <c r="DH15">
        <f t="shared" si="1"/>
        <v>0</v>
      </c>
      <c r="DI15">
        <f t="shared" si="2"/>
        <v>0</v>
      </c>
      <c r="DJ15">
        <f>DG15+DH15</f>
        <v>574.77</v>
      </c>
      <c r="DK15">
        <v>0</v>
      </c>
      <c r="DL15" t="s">
        <v>3</v>
      </c>
      <c r="DM15">
        <v>0</v>
      </c>
      <c r="DN15" t="s">
        <v>3</v>
      </c>
      <c r="DO15">
        <v>0</v>
      </c>
    </row>
    <row r="16" spans="1:119" x14ac:dyDescent="0.2">
      <c r="A16">
        <f>ROW(Source!A103)</f>
        <v>103</v>
      </c>
      <c r="B16">
        <v>65174513</v>
      </c>
      <c r="C16">
        <v>65174746</v>
      </c>
      <c r="D16">
        <v>59055768</v>
      </c>
      <c r="E16">
        <v>1</v>
      </c>
      <c r="F16">
        <v>1</v>
      </c>
      <c r="G16">
        <v>1</v>
      </c>
      <c r="H16">
        <v>2</v>
      </c>
      <c r="I16" t="s">
        <v>328</v>
      </c>
      <c r="J16" t="s">
        <v>329</v>
      </c>
      <c r="K16" t="s">
        <v>330</v>
      </c>
      <c r="L16">
        <v>1368</v>
      </c>
      <c r="N16">
        <v>1011</v>
      </c>
      <c r="O16" t="s">
        <v>311</v>
      </c>
      <c r="P16" t="s">
        <v>311</v>
      </c>
      <c r="Q16">
        <v>1</v>
      </c>
      <c r="W16">
        <v>0</v>
      </c>
      <c r="X16">
        <v>721652621</v>
      </c>
      <c r="Y16">
        <f t="shared" si="6"/>
        <v>0.39600000000000002</v>
      </c>
      <c r="AA16">
        <v>0</v>
      </c>
      <c r="AB16">
        <v>578.28</v>
      </c>
      <c r="AC16">
        <v>490.55</v>
      </c>
      <c r="AD16">
        <v>0</v>
      </c>
      <c r="AE16">
        <v>0</v>
      </c>
      <c r="AF16">
        <v>477.92</v>
      </c>
      <c r="AG16">
        <v>490.55</v>
      </c>
      <c r="AH16">
        <v>0</v>
      </c>
      <c r="AI16">
        <v>1</v>
      </c>
      <c r="AJ16">
        <v>1.21</v>
      </c>
      <c r="AK16">
        <v>1</v>
      </c>
      <c r="AL16">
        <v>1</v>
      </c>
      <c r="AM16">
        <v>2</v>
      </c>
      <c r="AN16">
        <v>0</v>
      </c>
      <c r="AO16">
        <v>0</v>
      </c>
      <c r="AP16">
        <v>1</v>
      </c>
      <c r="AQ16">
        <v>1</v>
      </c>
      <c r="AR16">
        <v>0</v>
      </c>
      <c r="AS16" t="s">
        <v>3</v>
      </c>
      <c r="AT16">
        <v>1.32</v>
      </c>
      <c r="AU16" t="s">
        <v>127</v>
      </c>
      <c r="AV16">
        <v>1</v>
      </c>
      <c r="AW16">
        <v>2</v>
      </c>
      <c r="AX16">
        <v>65174764</v>
      </c>
      <c r="AY16">
        <v>1</v>
      </c>
      <c r="AZ16">
        <v>0</v>
      </c>
      <c r="BA16">
        <v>16</v>
      </c>
      <c r="BB16">
        <v>1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630.85440000000006</v>
      </c>
      <c r="BL16">
        <v>647.52600000000007</v>
      </c>
      <c r="BM16">
        <v>0</v>
      </c>
      <c r="BN16">
        <v>0</v>
      </c>
      <c r="BO16">
        <v>1.32</v>
      </c>
      <c r="BP16">
        <v>1</v>
      </c>
      <c r="BQ16">
        <v>0</v>
      </c>
      <c r="BR16">
        <v>189.25632000000002</v>
      </c>
      <c r="BS16">
        <v>194.2578</v>
      </c>
      <c r="BT16">
        <v>0</v>
      </c>
      <c r="BU16">
        <v>0</v>
      </c>
      <c r="BV16">
        <v>0.39600000000000002</v>
      </c>
      <c r="BW16">
        <v>1</v>
      </c>
      <c r="CV16">
        <v>0</v>
      </c>
      <c r="CW16">
        <f>ROUND(Y16*Source!I103*DO16,7)</f>
        <v>10.4544</v>
      </c>
      <c r="CX16">
        <f>ROUND(Y16*Source!I103,7)</f>
        <v>10.4544</v>
      </c>
      <c r="CY16">
        <f>AB16</f>
        <v>578.28</v>
      </c>
      <c r="CZ16">
        <f>AF16</f>
        <v>477.92</v>
      </c>
      <c r="DA16">
        <f>AJ16</f>
        <v>1.21</v>
      </c>
      <c r="DB16">
        <f t="shared" si="7"/>
        <v>189.255</v>
      </c>
      <c r="DC16">
        <f t="shared" si="8"/>
        <v>194.25899999999999</v>
      </c>
      <c r="DD16" t="s">
        <v>3</v>
      </c>
      <c r="DE16" t="s">
        <v>3</v>
      </c>
      <c r="DF16">
        <f t="shared" si="9"/>
        <v>0</v>
      </c>
      <c r="DG16">
        <f>ROUND(ROUND(AF16*AJ16,2)*CX16,2)</f>
        <v>6045.57</v>
      </c>
      <c r="DH16">
        <f t="shared" si="1"/>
        <v>5128.41</v>
      </c>
      <c r="DI16">
        <f t="shared" si="2"/>
        <v>0</v>
      </c>
      <c r="DJ16">
        <f>DG16+DH16</f>
        <v>11173.98</v>
      </c>
      <c r="DK16">
        <v>0</v>
      </c>
      <c r="DL16" t="s">
        <v>312</v>
      </c>
      <c r="DM16">
        <v>4</v>
      </c>
      <c r="DN16" t="s">
        <v>296</v>
      </c>
      <c r="DO16">
        <v>1</v>
      </c>
    </row>
    <row r="17" spans="1:119" x14ac:dyDescent="0.2">
      <c r="A17">
        <f>ROW(Source!A103)</f>
        <v>103</v>
      </c>
      <c r="B17">
        <v>65174513</v>
      </c>
      <c r="C17">
        <v>65174746</v>
      </c>
      <c r="D17">
        <v>59008937</v>
      </c>
      <c r="E17">
        <v>1</v>
      </c>
      <c r="F17">
        <v>1</v>
      </c>
      <c r="G17">
        <v>1</v>
      </c>
      <c r="H17">
        <v>3</v>
      </c>
      <c r="I17" t="s">
        <v>331</v>
      </c>
      <c r="J17" t="s">
        <v>332</v>
      </c>
      <c r="K17" t="s">
        <v>333</v>
      </c>
      <c r="L17">
        <v>1302</v>
      </c>
      <c r="N17">
        <v>1003</v>
      </c>
      <c r="O17" t="s">
        <v>334</v>
      </c>
      <c r="P17" t="s">
        <v>334</v>
      </c>
      <c r="Q17">
        <v>10</v>
      </c>
      <c r="W17">
        <v>0</v>
      </c>
      <c r="X17">
        <v>153135899</v>
      </c>
      <c r="Y17">
        <f>(AT17*ROUND(0,7))</f>
        <v>0</v>
      </c>
      <c r="AA17">
        <v>57.7</v>
      </c>
      <c r="AB17">
        <v>0</v>
      </c>
      <c r="AC17">
        <v>0</v>
      </c>
      <c r="AD17">
        <v>0</v>
      </c>
      <c r="AE17">
        <v>37.71</v>
      </c>
      <c r="AF17">
        <v>0</v>
      </c>
      <c r="AG17">
        <v>0</v>
      </c>
      <c r="AH17">
        <v>0</v>
      </c>
      <c r="AI17">
        <v>1.53</v>
      </c>
      <c r="AJ17">
        <v>1</v>
      </c>
      <c r="AK17">
        <v>1</v>
      </c>
      <c r="AL17">
        <v>1</v>
      </c>
      <c r="AM17">
        <v>2</v>
      </c>
      <c r="AN17">
        <v>0</v>
      </c>
      <c r="AO17">
        <v>0</v>
      </c>
      <c r="AP17">
        <v>1</v>
      </c>
      <c r="AQ17">
        <v>1</v>
      </c>
      <c r="AR17">
        <v>0</v>
      </c>
      <c r="AS17" t="s">
        <v>3</v>
      </c>
      <c r="AT17">
        <v>9.6000000000000002E-2</v>
      </c>
      <c r="AU17" t="s">
        <v>126</v>
      </c>
      <c r="AV17">
        <v>0</v>
      </c>
      <c r="AW17">
        <v>2</v>
      </c>
      <c r="AX17">
        <v>65174765</v>
      </c>
      <c r="AY17">
        <v>1</v>
      </c>
      <c r="AZ17">
        <v>0</v>
      </c>
      <c r="BA17">
        <v>17</v>
      </c>
      <c r="BB17">
        <v>1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3.6201600000000003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1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CV17">
        <v>0</v>
      </c>
      <c r="CW17">
        <v>0</v>
      </c>
      <c r="CX17">
        <f>ROUND(Y17*Source!I103,7)</f>
        <v>0</v>
      </c>
      <c r="CY17">
        <f t="shared" ref="CY17:CY22" si="10">AA17</f>
        <v>57.7</v>
      </c>
      <c r="CZ17">
        <f t="shared" ref="CZ17:CZ22" si="11">AE17</f>
        <v>37.71</v>
      </c>
      <c r="DA17">
        <f t="shared" ref="DA17:DA22" si="12">AI17</f>
        <v>1.53</v>
      </c>
      <c r="DB17">
        <f>ROUND((ROUND(AT17*CZ17,2)*ROUND(0,7)),6)</f>
        <v>0</v>
      </c>
      <c r="DC17">
        <f>ROUND((ROUND(AT17*AG17,2)*ROUND(0,7)),6)</f>
        <v>0</v>
      </c>
      <c r="DD17" t="s">
        <v>3</v>
      </c>
      <c r="DE17" t="s">
        <v>3</v>
      </c>
      <c r="DF17">
        <f>ROUND(ROUND(AE17*AI17,2)*CX17,2)</f>
        <v>0</v>
      </c>
      <c r="DG17">
        <f t="shared" ref="DG17:DG25" si="13">ROUND(ROUND(AF17,2)*CX17,2)</f>
        <v>0</v>
      </c>
      <c r="DH17">
        <f t="shared" si="1"/>
        <v>0</v>
      </c>
      <c r="DI17">
        <f t="shared" si="2"/>
        <v>0</v>
      </c>
      <c r="DJ17">
        <f t="shared" ref="DJ17:DJ22" si="14">DF17</f>
        <v>0</v>
      </c>
      <c r="DK17">
        <v>0</v>
      </c>
      <c r="DL17" t="s">
        <v>3</v>
      </c>
      <c r="DM17">
        <v>0</v>
      </c>
      <c r="DN17" t="s">
        <v>3</v>
      </c>
      <c r="DO17">
        <v>0</v>
      </c>
    </row>
    <row r="18" spans="1:119" x14ac:dyDescent="0.2">
      <c r="A18">
        <f>ROW(Source!A103)</f>
        <v>103</v>
      </c>
      <c r="B18">
        <v>65174513</v>
      </c>
      <c r="C18">
        <v>65174746</v>
      </c>
      <c r="D18">
        <v>59016888</v>
      </c>
      <c r="E18">
        <v>1</v>
      </c>
      <c r="F18">
        <v>1</v>
      </c>
      <c r="G18">
        <v>1</v>
      </c>
      <c r="H18">
        <v>3</v>
      </c>
      <c r="I18" t="s">
        <v>335</v>
      </c>
      <c r="J18" t="s">
        <v>336</v>
      </c>
      <c r="K18" t="s">
        <v>337</v>
      </c>
      <c r="L18">
        <v>1348</v>
      </c>
      <c r="N18">
        <v>1009</v>
      </c>
      <c r="O18" t="s">
        <v>338</v>
      </c>
      <c r="P18" t="s">
        <v>338</v>
      </c>
      <c r="Q18">
        <v>1000</v>
      </c>
      <c r="W18">
        <v>0</v>
      </c>
      <c r="X18">
        <v>-393839491</v>
      </c>
      <c r="Y18">
        <f>(AT18*ROUND(0,7))</f>
        <v>0</v>
      </c>
      <c r="AA18">
        <v>61873.2</v>
      </c>
      <c r="AB18">
        <v>0</v>
      </c>
      <c r="AC18">
        <v>0</v>
      </c>
      <c r="AD18">
        <v>0</v>
      </c>
      <c r="AE18">
        <v>70310.45</v>
      </c>
      <c r="AF18">
        <v>0</v>
      </c>
      <c r="AG18">
        <v>0</v>
      </c>
      <c r="AH18">
        <v>0</v>
      </c>
      <c r="AI18">
        <v>0.88</v>
      </c>
      <c r="AJ18">
        <v>1</v>
      </c>
      <c r="AK18">
        <v>1</v>
      </c>
      <c r="AL18">
        <v>1</v>
      </c>
      <c r="AM18">
        <v>2</v>
      </c>
      <c r="AN18">
        <v>0</v>
      </c>
      <c r="AO18">
        <v>0</v>
      </c>
      <c r="AP18">
        <v>1</v>
      </c>
      <c r="AQ18">
        <v>1</v>
      </c>
      <c r="AR18">
        <v>0</v>
      </c>
      <c r="AS18" t="s">
        <v>3</v>
      </c>
      <c r="AT18">
        <v>1E-3</v>
      </c>
      <c r="AU18" t="s">
        <v>126</v>
      </c>
      <c r="AV18">
        <v>0</v>
      </c>
      <c r="AW18">
        <v>2</v>
      </c>
      <c r="AX18">
        <v>65174766</v>
      </c>
      <c r="AY18">
        <v>1</v>
      </c>
      <c r="AZ18">
        <v>0</v>
      </c>
      <c r="BA18">
        <v>18</v>
      </c>
      <c r="BB18">
        <v>1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70.310450000000003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1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CV18">
        <v>0</v>
      </c>
      <c r="CW18">
        <v>0</v>
      </c>
      <c r="CX18">
        <f>ROUND(Y18*Source!I103,7)</f>
        <v>0</v>
      </c>
      <c r="CY18">
        <f t="shared" si="10"/>
        <v>61873.2</v>
      </c>
      <c r="CZ18">
        <f t="shared" si="11"/>
        <v>70310.45</v>
      </c>
      <c r="DA18">
        <f t="shared" si="12"/>
        <v>0.88</v>
      </c>
      <c r="DB18">
        <f>ROUND((ROUND(AT18*CZ18,2)*ROUND(0,7)),6)</f>
        <v>0</v>
      </c>
      <c r="DC18">
        <f>ROUND((ROUND(AT18*AG18,2)*ROUND(0,7)),6)</f>
        <v>0</v>
      </c>
      <c r="DD18" t="s">
        <v>3</v>
      </c>
      <c r="DE18" t="s">
        <v>3</v>
      </c>
      <c r="DF18">
        <f>ROUND(ROUND(AE18*AI18,2)*CX18,2)</f>
        <v>0</v>
      </c>
      <c r="DG18">
        <f t="shared" si="13"/>
        <v>0</v>
      </c>
      <c r="DH18">
        <f t="shared" si="1"/>
        <v>0</v>
      </c>
      <c r="DI18">
        <f t="shared" si="2"/>
        <v>0</v>
      </c>
      <c r="DJ18">
        <f t="shared" si="14"/>
        <v>0</v>
      </c>
      <c r="DK18">
        <v>0</v>
      </c>
      <c r="DL18" t="s">
        <v>3</v>
      </c>
      <c r="DM18">
        <v>0</v>
      </c>
      <c r="DN18" t="s">
        <v>3</v>
      </c>
      <c r="DO18">
        <v>0</v>
      </c>
    </row>
    <row r="19" spans="1:119" x14ac:dyDescent="0.2">
      <c r="A19">
        <f>ROW(Source!A103)</f>
        <v>103</v>
      </c>
      <c r="B19">
        <v>65174513</v>
      </c>
      <c r="C19">
        <v>65174746</v>
      </c>
      <c r="D19">
        <v>59017068</v>
      </c>
      <c r="E19">
        <v>1</v>
      </c>
      <c r="F19">
        <v>1</v>
      </c>
      <c r="G19">
        <v>1</v>
      </c>
      <c r="H19">
        <v>3</v>
      </c>
      <c r="I19" t="s">
        <v>339</v>
      </c>
      <c r="J19" t="s">
        <v>340</v>
      </c>
      <c r="K19" t="s">
        <v>341</v>
      </c>
      <c r="L19">
        <v>1348</v>
      </c>
      <c r="N19">
        <v>1009</v>
      </c>
      <c r="O19" t="s">
        <v>338</v>
      </c>
      <c r="P19" t="s">
        <v>338</v>
      </c>
      <c r="Q19">
        <v>1000</v>
      </c>
      <c r="W19">
        <v>0</v>
      </c>
      <c r="X19">
        <v>-522469546</v>
      </c>
      <c r="Y19">
        <f>(AT19*ROUND(0,7))</f>
        <v>0</v>
      </c>
      <c r="AA19">
        <v>55303.81</v>
      </c>
      <c r="AB19">
        <v>0</v>
      </c>
      <c r="AC19">
        <v>0</v>
      </c>
      <c r="AD19">
        <v>0</v>
      </c>
      <c r="AE19">
        <v>55303.81</v>
      </c>
      <c r="AF19">
        <v>0</v>
      </c>
      <c r="AG19">
        <v>0</v>
      </c>
      <c r="AH19">
        <v>0</v>
      </c>
      <c r="AI19">
        <v>1</v>
      </c>
      <c r="AJ19">
        <v>1</v>
      </c>
      <c r="AK19">
        <v>1</v>
      </c>
      <c r="AL19">
        <v>1</v>
      </c>
      <c r="AM19">
        <v>-2</v>
      </c>
      <c r="AN19">
        <v>0</v>
      </c>
      <c r="AO19">
        <v>0</v>
      </c>
      <c r="AP19">
        <v>1</v>
      </c>
      <c r="AQ19">
        <v>1</v>
      </c>
      <c r="AR19">
        <v>0</v>
      </c>
      <c r="AS19" t="s">
        <v>3</v>
      </c>
      <c r="AT19">
        <v>0.01</v>
      </c>
      <c r="AU19" t="s">
        <v>126</v>
      </c>
      <c r="AV19">
        <v>0</v>
      </c>
      <c r="AW19">
        <v>2</v>
      </c>
      <c r="AX19">
        <v>65174767</v>
      </c>
      <c r="AY19">
        <v>1</v>
      </c>
      <c r="AZ19">
        <v>0</v>
      </c>
      <c r="BA19">
        <v>19</v>
      </c>
      <c r="BB19">
        <v>1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553.03809999999999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1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CV19">
        <v>0</v>
      </c>
      <c r="CW19">
        <v>0</v>
      </c>
      <c r="CX19">
        <f>ROUND(Y19*Source!I103,7)</f>
        <v>0</v>
      </c>
      <c r="CY19">
        <f t="shared" si="10"/>
        <v>55303.81</v>
      </c>
      <c r="CZ19">
        <f t="shared" si="11"/>
        <v>55303.81</v>
      </c>
      <c r="DA19">
        <f t="shared" si="12"/>
        <v>1</v>
      </c>
      <c r="DB19">
        <f>ROUND((ROUND(AT19*CZ19,2)*ROUND(0,7)),6)</f>
        <v>0</v>
      </c>
      <c r="DC19">
        <f>ROUND((ROUND(AT19*AG19,2)*ROUND(0,7)),6)</f>
        <v>0</v>
      </c>
      <c r="DD19" t="s">
        <v>3</v>
      </c>
      <c r="DE19" t="s">
        <v>3</v>
      </c>
      <c r="DF19">
        <f>ROUND(ROUND(AE19,2)*CX19,2)</f>
        <v>0</v>
      </c>
      <c r="DG19">
        <f t="shared" si="13"/>
        <v>0</v>
      </c>
      <c r="DH19">
        <f t="shared" si="1"/>
        <v>0</v>
      </c>
      <c r="DI19">
        <f t="shared" si="2"/>
        <v>0</v>
      </c>
      <c r="DJ19">
        <f t="shared" si="14"/>
        <v>0</v>
      </c>
      <c r="DK19">
        <v>1</v>
      </c>
      <c r="DL19" t="s">
        <v>3</v>
      </c>
      <c r="DM19">
        <v>0</v>
      </c>
      <c r="DN19" t="s">
        <v>3</v>
      </c>
      <c r="DO19">
        <v>0</v>
      </c>
    </row>
    <row r="20" spans="1:119" x14ac:dyDescent="0.2">
      <c r="A20">
        <f>ROW(Source!A103)</f>
        <v>103</v>
      </c>
      <c r="B20">
        <v>65174513</v>
      </c>
      <c r="C20">
        <v>65174746</v>
      </c>
      <c r="D20">
        <v>59026221</v>
      </c>
      <c r="E20">
        <v>1</v>
      </c>
      <c r="F20">
        <v>1</v>
      </c>
      <c r="G20">
        <v>1</v>
      </c>
      <c r="H20">
        <v>3</v>
      </c>
      <c r="I20" t="s">
        <v>342</v>
      </c>
      <c r="J20" t="s">
        <v>343</v>
      </c>
      <c r="K20" t="s">
        <v>344</v>
      </c>
      <c r="L20">
        <v>1346</v>
      </c>
      <c r="N20">
        <v>1009</v>
      </c>
      <c r="O20" t="s">
        <v>117</v>
      </c>
      <c r="P20" t="s">
        <v>117</v>
      </c>
      <c r="Q20">
        <v>1</v>
      </c>
      <c r="W20">
        <v>0</v>
      </c>
      <c r="X20">
        <v>628117784</v>
      </c>
      <c r="Y20">
        <f>(AT20*ROUND(0,7))</f>
        <v>0</v>
      </c>
      <c r="AA20">
        <v>104.64</v>
      </c>
      <c r="AB20">
        <v>0</v>
      </c>
      <c r="AC20">
        <v>0</v>
      </c>
      <c r="AD20">
        <v>0</v>
      </c>
      <c r="AE20">
        <v>79.88</v>
      </c>
      <c r="AF20">
        <v>0</v>
      </c>
      <c r="AG20">
        <v>0</v>
      </c>
      <c r="AH20">
        <v>0</v>
      </c>
      <c r="AI20">
        <v>1.31</v>
      </c>
      <c r="AJ20">
        <v>1</v>
      </c>
      <c r="AK20">
        <v>1</v>
      </c>
      <c r="AL20">
        <v>1</v>
      </c>
      <c r="AM20">
        <v>2</v>
      </c>
      <c r="AN20">
        <v>0</v>
      </c>
      <c r="AO20">
        <v>0</v>
      </c>
      <c r="AP20">
        <v>1</v>
      </c>
      <c r="AQ20">
        <v>1</v>
      </c>
      <c r="AR20">
        <v>0</v>
      </c>
      <c r="AS20" t="s">
        <v>3</v>
      </c>
      <c r="AT20">
        <v>0.25</v>
      </c>
      <c r="AU20" t="s">
        <v>126</v>
      </c>
      <c r="AV20">
        <v>0</v>
      </c>
      <c r="AW20">
        <v>2</v>
      </c>
      <c r="AX20">
        <v>65174768</v>
      </c>
      <c r="AY20">
        <v>1</v>
      </c>
      <c r="AZ20">
        <v>0</v>
      </c>
      <c r="BA20">
        <v>20</v>
      </c>
      <c r="BB20">
        <v>1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19.97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1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CV20">
        <v>0</v>
      </c>
      <c r="CW20">
        <v>0</v>
      </c>
      <c r="CX20">
        <f>ROUND(Y20*Source!I103,7)</f>
        <v>0</v>
      </c>
      <c r="CY20">
        <f t="shared" si="10"/>
        <v>104.64</v>
      </c>
      <c r="CZ20">
        <f t="shared" si="11"/>
        <v>79.88</v>
      </c>
      <c r="DA20">
        <f t="shared" si="12"/>
        <v>1.31</v>
      </c>
      <c r="DB20">
        <f>ROUND((ROUND(AT20*CZ20,2)*ROUND(0,7)),6)</f>
        <v>0</v>
      </c>
      <c r="DC20">
        <f>ROUND((ROUND(AT20*AG20,2)*ROUND(0,7)),6)</f>
        <v>0</v>
      </c>
      <c r="DD20" t="s">
        <v>3</v>
      </c>
      <c r="DE20" t="s">
        <v>3</v>
      </c>
      <c r="DF20">
        <f>ROUND(ROUND(AE20*AI20,2)*CX20,2)</f>
        <v>0</v>
      </c>
      <c r="DG20">
        <f t="shared" si="13"/>
        <v>0</v>
      </c>
      <c r="DH20">
        <f t="shared" si="1"/>
        <v>0</v>
      </c>
      <c r="DI20">
        <f t="shared" si="2"/>
        <v>0</v>
      </c>
      <c r="DJ20">
        <f t="shared" si="14"/>
        <v>0</v>
      </c>
      <c r="DK20">
        <v>0</v>
      </c>
      <c r="DL20" t="s">
        <v>3</v>
      </c>
      <c r="DM20">
        <v>0</v>
      </c>
      <c r="DN20" t="s">
        <v>3</v>
      </c>
      <c r="DO20">
        <v>0</v>
      </c>
    </row>
    <row r="21" spans="1:119" x14ac:dyDescent="0.2">
      <c r="A21">
        <f>ROW(Source!A103)</f>
        <v>103</v>
      </c>
      <c r="B21">
        <v>65174513</v>
      </c>
      <c r="C21">
        <v>65174746</v>
      </c>
      <c r="D21">
        <v>59026247</v>
      </c>
      <c r="E21">
        <v>1</v>
      </c>
      <c r="F21">
        <v>1</v>
      </c>
      <c r="G21">
        <v>1</v>
      </c>
      <c r="H21">
        <v>3</v>
      </c>
      <c r="I21" t="s">
        <v>345</v>
      </c>
      <c r="J21" t="s">
        <v>346</v>
      </c>
      <c r="K21" t="s">
        <v>347</v>
      </c>
      <c r="L21">
        <v>1348</v>
      </c>
      <c r="N21">
        <v>1009</v>
      </c>
      <c r="O21" t="s">
        <v>338</v>
      </c>
      <c r="P21" t="s">
        <v>338</v>
      </c>
      <c r="Q21">
        <v>1000</v>
      </c>
      <c r="W21">
        <v>0</v>
      </c>
      <c r="X21">
        <v>-1568086514</v>
      </c>
      <c r="Y21">
        <f>(AT21*ROUND(0,7))</f>
        <v>0</v>
      </c>
      <c r="AA21">
        <v>100891.73</v>
      </c>
      <c r="AB21">
        <v>0</v>
      </c>
      <c r="AC21">
        <v>0</v>
      </c>
      <c r="AD21">
        <v>0</v>
      </c>
      <c r="AE21">
        <v>82698.14</v>
      </c>
      <c r="AF21">
        <v>0</v>
      </c>
      <c r="AG21">
        <v>0</v>
      </c>
      <c r="AH21">
        <v>0</v>
      </c>
      <c r="AI21">
        <v>1.22</v>
      </c>
      <c r="AJ21">
        <v>1</v>
      </c>
      <c r="AK21">
        <v>1</v>
      </c>
      <c r="AL21">
        <v>1</v>
      </c>
      <c r="AM21">
        <v>2</v>
      </c>
      <c r="AN21">
        <v>0</v>
      </c>
      <c r="AO21">
        <v>0</v>
      </c>
      <c r="AP21">
        <v>1</v>
      </c>
      <c r="AQ21">
        <v>1</v>
      </c>
      <c r="AR21">
        <v>0</v>
      </c>
      <c r="AS21" t="s">
        <v>3</v>
      </c>
      <c r="AT21">
        <v>6.0000000000000002E-5</v>
      </c>
      <c r="AU21" t="s">
        <v>126</v>
      </c>
      <c r="AV21">
        <v>0</v>
      </c>
      <c r="AW21">
        <v>2</v>
      </c>
      <c r="AX21">
        <v>65174769</v>
      </c>
      <c r="AY21">
        <v>1</v>
      </c>
      <c r="AZ21">
        <v>0</v>
      </c>
      <c r="BA21">
        <v>21</v>
      </c>
      <c r="BB21">
        <v>1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4.9618884000000003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1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CV21">
        <v>0</v>
      </c>
      <c r="CW21">
        <v>0</v>
      </c>
      <c r="CX21">
        <f>ROUND(Y21*Source!I103,7)</f>
        <v>0</v>
      </c>
      <c r="CY21">
        <f t="shared" si="10"/>
        <v>100891.73</v>
      </c>
      <c r="CZ21">
        <f t="shared" si="11"/>
        <v>82698.14</v>
      </c>
      <c r="DA21">
        <f t="shared" si="12"/>
        <v>1.22</v>
      </c>
      <c r="DB21">
        <f>ROUND((ROUND(AT21*CZ21,2)*ROUND(0,7)),6)</f>
        <v>0</v>
      </c>
      <c r="DC21">
        <f>ROUND((ROUND(AT21*AG21,2)*ROUND(0,7)),6)</f>
        <v>0</v>
      </c>
      <c r="DD21" t="s">
        <v>3</v>
      </c>
      <c r="DE21" t="s">
        <v>3</v>
      </c>
      <c r="DF21">
        <f>ROUND(ROUND(AE21*AI21,2)*CX21,2)</f>
        <v>0</v>
      </c>
      <c r="DG21">
        <f t="shared" si="13"/>
        <v>0</v>
      </c>
      <c r="DH21">
        <f t="shared" si="1"/>
        <v>0</v>
      </c>
      <c r="DI21">
        <f t="shared" si="2"/>
        <v>0</v>
      </c>
      <c r="DJ21">
        <f t="shared" si="14"/>
        <v>0</v>
      </c>
      <c r="DK21">
        <v>0</v>
      </c>
      <c r="DL21" t="s">
        <v>3</v>
      </c>
      <c r="DM21">
        <v>0</v>
      </c>
      <c r="DN21" t="s">
        <v>3</v>
      </c>
      <c r="DO21">
        <v>0</v>
      </c>
    </row>
    <row r="22" spans="1:119" x14ac:dyDescent="0.2">
      <c r="A22">
        <f>ROW(Source!A103)</f>
        <v>103</v>
      </c>
      <c r="B22">
        <v>65174513</v>
      </c>
      <c r="C22">
        <v>65174746</v>
      </c>
      <c r="D22">
        <v>58938947</v>
      </c>
      <c r="E22">
        <v>109</v>
      </c>
      <c r="F22">
        <v>1</v>
      </c>
      <c r="G22">
        <v>1</v>
      </c>
      <c r="H22">
        <v>3</v>
      </c>
      <c r="I22" t="s">
        <v>348</v>
      </c>
      <c r="J22" t="s">
        <v>3</v>
      </c>
      <c r="K22" t="s">
        <v>349</v>
      </c>
      <c r="L22">
        <v>3277935</v>
      </c>
      <c r="N22">
        <v>1013</v>
      </c>
      <c r="O22" t="s">
        <v>350</v>
      </c>
      <c r="P22" t="s">
        <v>350</v>
      </c>
      <c r="Q22">
        <v>1</v>
      </c>
      <c r="W22">
        <v>0</v>
      </c>
      <c r="X22">
        <v>274903907</v>
      </c>
      <c r="Y22">
        <f>AT22</f>
        <v>2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1</v>
      </c>
      <c r="AJ22">
        <v>1</v>
      </c>
      <c r="AK22">
        <v>1</v>
      </c>
      <c r="AL22">
        <v>1</v>
      </c>
      <c r="AM22">
        <v>-2</v>
      </c>
      <c r="AN22">
        <v>0</v>
      </c>
      <c r="AO22">
        <v>0</v>
      </c>
      <c r="AP22">
        <v>0</v>
      </c>
      <c r="AQ22">
        <v>1</v>
      </c>
      <c r="AR22">
        <v>0</v>
      </c>
      <c r="AS22" t="s">
        <v>3</v>
      </c>
      <c r="AT22">
        <v>2</v>
      </c>
      <c r="AU22" t="s">
        <v>3</v>
      </c>
      <c r="AV22">
        <v>0</v>
      </c>
      <c r="AW22">
        <v>2</v>
      </c>
      <c r="AX22">
        <v>65174770</v>
      </c>
      <c r="AY22">
        <v>1</v>
      </c>
      <c r="AZ22">
        <v>2048</v>
      </c>
      <c r="BA22">
        <v>22</v>
      </c>
      <c r="BB22">
        <v>1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CV22">
        <v>0</v>
      </c>
      <c r="CW22">
        <v>0</v>
      </c>
      <c r="CX22">
        <f>ROUND(Y22*Source!I103,7)</f>
        <v>52.8</v>
      </c>
      <c r="CY22">
        <f t="shared" si="10"/>
        <v>0</v>
      </c>
      <c r="CZ22">
        <f t="shared" si="11"/>
        <v>0</v>
      </c>
      <c r="DA22">
        <f t="shared" si="12"/>
        <v>1</v>
      </c>
      <c r="DB22">
        <f>ROUND(ROUND(AT22*CZ22,2),6)</f>
        <v>0</v>
      </c>
      <c r="DC22">
        <f>ROUND(ROUND(AT22*AG22,2),6)</f>
        <v>0</v>
      </c>
      <c r="DD22" t="s">
        <v>3</v>
      </c>
      <c r="DE22" t="s">
        <v>3</v>
      </c>
      <c r="DF22">
        <f>ROUND(ROUND(AE22,2)*CX22,2)</f>
        <v>0</v>
      </c>
      <c r="DG22">
        <f t="shared" si="13"/>
        <v>0</v>
      </c>
      <c r="DH22">
        <f t="shared" si="1"/>
        <v>0</v>
      </c>
      <c r="DI22">
        <f t="shared" si="2"/>
        <v>0</v>
      </c>
      <c r="DJ22">
        <f t="shared" si="14"/>
        <v>0</v>
      </c>
      <c r="DK22">
        <v>0</v>
      </c>
      <c r="DL22" t="s">
        <v>3</v>
      </c>
      <c r="DM22">
        <v>0</v>
      </c>
      <c r="DN22" t="s">
        <v>3</v>
      </c>
      <c r="DO22">
        <v>0</v>
      </c>
    </row>
    <row r="23" spans="1:119" x14ac:dyDescent="0.2">
      <c r="A23">
        <f>ROW(Source!A104)</f>
        <v>104</v>
      </c>
      <c r="B23">
        <v>65174513</v>
      </c>
      <c r="C23">
        <v>65174771</v>
      </c>
      <c r="D23">
        <v>37064878</v>
      </c>
      <c r="E23">
        <v>112</v>
      </c>
      <c r="F23">
        <v>1</v>
      </c>
      <c r="G23">
        <v>1</v>
      </c>
      <c r="H23">
        <v>1</v>
      </c>
      <c r="I23" t="s">
        <v>316</v>
      </c>
      <c r="J23" t="s">
        <v>3</v>
      </c>
      <c r="K23" t="s">
        <v>351</v>
      </c>
      <c r="L23">
        <v>1191</v>
      </c>
      <c r="N23">
        <v>1013</v>
      </c>
      <c r="O23" t="s">
        <v>296</v>
      </c>
      <c r="P23" t="s">
        <v>296</v>
      </c>
      <c r="Q23">
        <v>1</v>
      </c>
      <c r="W23">
        <v>0</v>
      </c>
      <c r="X23">
        <v>44848675</v>
      </c>
      <c r="Y23">
        <f>(AT23*ROUND(0.3,7))</f>
        <v>3.36</v>
      </c>
      <c r="AA23">
        <v>0</v>
      </c>
      <c r="AB23">
        <v>0</v>
      </c>
      <c r="AC23">
        <v>0</v>
      </c>
      <c r="AD23">
        <v>479.56</v>
      </c>
      <c r="AE23">
        <v>0</v>
      </c>
      <c r="AF23">
        <v>0</v>
      </c>
      <c r="AG23">
        <v>0</v>
      </c>
      <c r="AH23">
        <v>479.56</v>
      </c>
      <c r="AI23">
        <v>1</v>
      </c>
      <c r="AJ23">
        <v>1</v>
      </c>
      <c r="AK23">
        <v>1</v>
      </c>
      <c r="AL23">
        <v>1</v>
      </c>
      <c r="AM23">
        <v>-2</v>
      </c>
      <c r="AN23">
        <v>0</v>
      </c>
      <c r="AO23">
        <v>0</v>
      </c>
      <c r="AP23">
        <v>1</v>
      </c>
      <c r="AQ23">
        <v>1</v>
      </c>
      <c r="AR23">
        <v>0</v>
      </c>
      <c r="AS23" t="s">
        <v>3</v>
      </c>
      <c r="AT23">
        <v>11.2</v>
      </c>
      <c r="AU23" t="s">
        <v>127</v>
      </c>
      <c r="AV23">
        <v>1</v>
      </c>
      <c r="AW23">
        <v>2</v>
      </c>
      <c r="AX23">
        <v>65174781</v>
      </c>
      <c r="AY23">
        <v>1</v>
      </c>
      <c r="AZ23">
        <v>0</v>
      </c>
      <c r="BA23">
        <v>23</v>
      </c>
      <c r="BB23">
        <v>1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5371.0720000000001</v>
      </c>
      <c r="BN23">
        <v>11.2</v>
      </c>
      <c r="BO23">
        <v>0</v>
      </c>
      <c r="BP23">
        <v>1</v>
      </c>
      <c r="BQ23">
        <v>0</v>
      </c>
      <c r="BR23">
        <v>0</v>
      </c>
      <c r="BS23">
        <v>0</v>
      </c>
      <c r="BT23">
        <v>1611.3216</v>
      </c>
      <c r="BU23">
        <v>3.36</v>
      </c>
      <c r="BV23">
        <v>0</v>
      </c>
      <c r="BW23">
        <v>1</v>
      </c>
      <c r="CU23">
        <f>ROUND(AT23*Source!I104*AH23*AL23,2)</f>
        <v>32226.43</v>
      </c>
      <c r="CV23">
        <f>ROUND(Y23*Source!I104,7)</f>
        <v>20.16</v>
      </c>
      <c r="CW23">
        <v>0</v>
      </c>
      <c r="CX23">
        <f>ROUND(Y23*Source!I104,7)</f>
        <v>20.16</v>
      </c>
      <c r="CY23">
        <f>AD23</f>
        <v>479.56</v>
      </c>
      <c r="CZ23">
        <f>AH23</f>
        <v>479.56</v>
      </c>
      <c r="DA23">
        <f>AL23</f>
        <v>1</v>
      </c>
      <c r="DB23">
        <f>ROUND((ROUND(AT23*CZ23,2)*ROUND(0.3,7)),6)</f>
        <v>1611.3209999999999</v>
      </c>
      <c r="DC23">
        <f>ROUND((ROUND(AT23*AG23,2)*ROUND(0.3,7)),6)</f>
        <v>0</v>
      </c>
      <c r="DD23" t="s">
        <v>3</v>
      </c>
      <c r="DE23" t="s">
        <v>3</v>
      </c>
      <c r="DF23">
        <f>ROUND(ROUND(AE23,2)*CX23,2)</f>
        <v>0</v>
      </c>
      <c r="DG23">
        <f t="shared" si="13"/>
        <v>0</v>
      </c>
      <c r="DH23">
        <f t="shared" si="1"/>
        <v>0</v>
      </c>
      <c r="DI23">
        <f t="shared" si="2"/>
        <v>9667.93</v>
      </c>
      <c r="DJ23">
        <f>DI23</f>
        <v>9667.93</v>
      </c>
      <c r="DK23">
        <v>1</v>
      </c>
      <c r="DL23" t="s">
        <v>3</v>
      </c>
      <c r="DM23">
        <v>0</v>
      </c>
      <c r="DN23" t="s">
        <v>3</v>
      </c>
      <c r="DO23">
        <v>0</v>
      </c>
    </row>
    <row r="24" spans="1:119" x14ac:dyDescent="0.2">
      <c r="A24">
        <f>ROW(Source!A104)</f>
        <v>104</v>
      </c>
      <c r="B24">
        <v>65174513</v>
      </c>
      <c r="C24">
        <v>65174771</v>
      </c>
      <c r="D24">
        <v>37064876</v>
      </c>
      <c r="E24">
        <v>112</v>
      </c>
      <c r="F24">
        <v>1</v>
      </c>
      <c r="G24">
        <v>1</v>
      </c>
      <c r="H24">
        <v>1</v>
      </c>
      <c r="I24" t="s">
        <v>306</v>
      </c>
      <c r="J24" t="s">
        <v>3</v>
      </c>
      <c r="K24" t="s">
        <v>307</v>
      </c>
      <c r="L24">
        <v>1191</v>
      </c>
      <c r="N24">
        <v>1013</v>
      </c>
      <c r="O24" t="s">
        <v>296</v>
      </c>
      <c r="P24" t="s">
        <v>296</v>
      </c>
      <c r="Q24">
        <v>1</v>
      </c>
      <c r="W24">
        <v>0</v>
      </c>
      <c r="X24">
        <v>-1417349443</v>
      </c>
      <c r="Y24">
        <f>(AT24*ROUND(0.3,7))</f>
        <v>6.0000000000000001E-3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1</v>
      </c>
      <c r="AJ24">
        <v>1</v>
      </c>
      <c r="AK24">
        <v>1</v>
      </c>
      <c r="AL24">
        <v>1</v>
      </c>
      <c r="AM24">
        <v>-2</v>
      </c>
      <c r="AN24">
        <v>0</v>
      </c>
      <c r="AO24">
        <v>0</v>
      </c>
      <c r="AP24">
        <v>1</v>
      </c>
      <c r="AQ24">
        <v>1</v>
      </c>
      <c r="AR24">
        <v>0</v>
      </c>
      <c r="AS24" t="s">
        <v>3</v>
      </c>
      <c r="AT24">
        <v>0.02</v>
      </c>
      <c r="AU24" t="s">
        <v>127</v>
      </c>
      <c r="AV24">
        <v>2</v>
      </c>
      <c r="AW24">
        <v>2</v>
      </c>
      <c r="AX24">
        <v>65174782</v>
      </c>
      <c r="AY24">
        <v>1</v>
      </c>
      <c r="AZ24">
        <v>0</v>
      </c>
      <c r="BA24">
        <v>24</v>
      </c>
      <c r="BB24">
        <v>1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CV24">
        <v>0</v>
      </c>
      <c r="CW24">
        <v>0</v>
      </c>
      <c r="CX24">
        <f>ROUND(Y24*Source!I104,7)</f>
        <v>3.5999999999999997E-2</v>
      </c>
      <c r="CY24">
        <f>AD24</f>
        <v>0</v>
      </c>
      <c r="CZ24">
        <f>AH24</f>
        <v>0</v>
      </c>
      <c r="DA24">
        <f>AL24</f>
        <v>1</v>
      </c>
      <c r="DB24">
        <f>ROUND((ROUND(AT24*CZ24,2)*ROUND(0.3,7)),6)</f>
        <v>0</v>
      </c>
      <c r="DC24">
        <f>ROUND((ROUND(AT24*AG24,2)*ROUND(0.3,7)),6)</f>
        <v>0</v>
      </c>
      <c r="DD24" t="s">
        <v>3</v>
      </c>
      <c r="DE24" t="s">
        <v>3</v>
      </c>
      <c r="DF24">
        <f>ROUND(ROUND(AE24,2)*CX24,2)</f>
        <v>0</v>
      </c>
      <c r="DG24">
        <f t="shared" si="13"/>
        <v>0</v>
      </c>
      <c r="DH24">
        <f t="shared" si="1"/>
        <v>0</v>
      </c>
      <c r="DI24">
        <f t="shared" si="2"/>
        <v>0</v>
      </c>
      <c r="DJ24">
        <f>DI24</f>
        <v>0</v>
      </c>
      <c r="DK24">
        <v>0</v>
      </c>
      <c r="DL24" t="s">
        <v>3</v>
      </c>
      <c r="DM24">
        <v>0</v>
      </c>
      <c r="DN24" t="s">
        <v>3</v>
      </c>
      <c r="DO24">
        <v>0</v>
      </c>
    </row>
    <row r="25" spans="1:119" x14ac:dyDescent="0.2">
      <c r="A25">
        <f>ROW(Source!A104)</f>
        <v>104</v>
      </c>
      <c r="B25">
        <v>65174513</v>
      </c>
      <c r="C25">
        <v>65174771</v>
      </c>
      <c r="D25">
        <v>64001515</v>
      </c>
      <c r="E25">
        <v>1</v>
      </c>
      <c r="F25">
        <v>1</v>
      </c>
      <c r="G25">
        <v>1</v>
      </c>
      <c r="H25">
        <v>2</v>
      </c>
      <c r="I25" t="s">
        <v>318</v>
      </c>
      <c r="J25" t="s">
        <v>319</v>
      </c>
      <c r="K25" t="s">
        <v>320</v>
      </c>
      <c r="L25">
        <v>1368</v>
      </c>
      <c r="N25">
        <v>1011</v>
      </c>
      <c r="O25" t="s">
        <v>311</v>
      </c>
      <c r="P25" t="s">
        <v>311</v>
      </c>
      <c r="Q25">
        <v>1</v>
      </c>
      <c r="W25">
        <v>0</v>
      </c>
      <c r="X25">
        <v>-613270886</v>
      </c>
      <c r="Y25">
        <f>(AT25*ROUND(0.3,7))</f>
        <v>3.0000000000000001E-3</v>
      </c>
      <c r="AA25">
        <v>0</v>
      </c>
      <c r="AB25">
        <v>1551.19</v>
      </c>
      <c r="AC25">
        <v>658.94</v>
      </c>
      <c r="AD25">
        <v>0</v>
      </c>
      <c r="AE25">
        <v>0</v>
      </c>
      <c r="AF25">
        <v>1551.19</v>
      </c>
      <c r="AG25">
        <v>658.94</v>
      </c>
      <c r="AH25">
        <v>0</v>
      </c>
      <c r="AI25">
        <v>1</v>
      </c>
      <c r="AJ25">
        <v>1</v>
      </c>
      <c r="AK25">
        <v>1</v>
      </c>
      <c r="AL25">
        <v>1</v>
      </c>
      <c r="AM25">
        <v>-2</v>
      </c>
      <c r="AN25">
        <v>0</v>
      </c>
      <c r="AO25">
        <v>0</v>
      </c>
      <c r="AP25">
        <v>1</v>
      </c>
      <c r="AQ25">
        <v>1</v>
      </c>
      <c r="AR25">
        <v>0</v>
      </c>
      <c r="AS25" t="s">
        <v>3</v>
      </c>
      <c r="AT25">
        <v>0.01</v>
      </c>
      <c r="AU25" t="s">
        <v>127</v>
      </c>
      <c r="AV25">
        <v>1</v>
      </c>
      <c r="AW25">
        <v>2</v>
      </c>
      <c r="AX25">
        <v>65174783</v>
      </c>
      <c r="AY25">
        <v>1</v>
      </c>
      <c r="AZ25">
        <v>0</v>
      </c>
      <c r="BA25">
        <v>25</v>
      </c>
      <c r="BB25">
        <v>1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15.511900000000001</v>
      </c>
      <c r="BL25">
        <v>6.5894000000000004</v>
      </c>
      <c r="BM25">
        <v>0</v>
      </c>
      <c r="BN25">
        <v>0</v>
      </c>
      <c r="BO25">
        <v>0.01</v>
      </c>
      <c r="BP25">
        <v>1</v>
      </c>
      <c r="BQ25">
        <v>0</v>
      </c>
      <c r="BR25">
        <v>4.6535700000000002</v>
      </c>
      <c r="BS25">
        <v>1.9768200000000002</v>
      </c>
      <c r="BT25">
        <v>0</v>
      </c>
      <c r="BU25">
        <v>0</v>
      </c>
      <c r="BV25">
        <v>3.0000000000000001E-3</v>
      </c>
      <c r="BW25">
        <v>1</v>
      </c>
      <c r="CV25">
        <v>0</v>
      </c>
      <c r="CW25">
        <f>ROUND(Y25*Source!I104*DO25,7)</f>
        <v>1.7999999999999999E-2</v>
      </c>
      <c r="CX25">
        <f>ROUND(Y25*Source!I104,7)</f>
        <v>1.7999999999999999E-2</v>
      </c>
      <c r="CY25">
        <f>AB25</f>
        <v>1551.19</v>
      </c>
      <c r="CZ25">
        <f>AF25</f>
        <v>1551.19</v>
      </c>
      <c r="DA25">
        <f>AJ25</f>
        <v>1</v>
      </c>
      <c r="DB25">
        <f>ROUND((ROUND(AT25*CZ25,2)*ROUND(0.3,7)),6)</f>
        <v>4.6529999999999996</v>
      </c>
      <c r="DC25">
        <f>ROUND((ROUND(AT25*AG25,2)*ROUND(0.3,7)),6)</f>
        <v>1.9770000000000001</v>
      </c>
      <c r="DD25" t="s">
        <v>3</v>
      </c>
      <c r="DE25" t="s">
        <v>3</v>
      </c>
      <c r="DF25">
        <f>ROUND(ROUND(AE25,2)*CX25,2)</f>
        <v>0</v>
      </c>
      <c r="DG25">
        <f t="shared" si="13"/>
        <v>27.92</v>
      </c>
      <c r="DH25">
        <f t="shared" si="1"/>
        <v>11.86</v>
      </c>
      <c r="DI25">
        <f t="shared" si="2"/>
        <v>0</v>
      </c>
      <c r="DJ25">
        <f>DG25+DH25</f>
        <v>39.78</v>
      </c>
      <c r="DK25">
        <v>1</v>
      </c>
      <c r="DL25" t="s">
        <v>321</v>
      </c>
      <c r="DM25">
        <v>6</v>
      </c>
      <c r="DN25" t="s">
        <v>296</v>
      </c>
      <c r="DO25">
        <v>1</v>
      </c>
    </row>
    <row r="26" spans="1:119" x14ac:dyDescent="0.2">
      <c r="A26">
        <f>ROW(Source!A104)</f>
        <v>104</v>
      </c>
      <c r="B26">
        <v>65174513</v>
      </c>
      <c r="C26">
        <v>65174771</v>
      </c>
      <c r="D26">
        <v>64002400</v>
      </c>
      <c r="E26">
        <v>1</v>
      </c>
      <c r="F26">
        <v>1</v>
      </c>
      <c r="G26">
        <v>1</v>
      </c>
      <c r="H26">
        <v>2</v>
      </c>
      <c r="I26" t="s">
        <v>328</v>
      </c>
      <c r="J26" t="s">
        <v>329</v>
      </c>
      <c r="K26" t="s">
        <v>330</v>
      </c>
      <c r="L26">
        <v>1368</v>
      </c>
      <c r="N26">
        <v>1011</v>
      </c>
      <c r="O26" t="s">
        <v>311</v>
      </c>
      <c r="P26" t="s">
        <v>311</v>
      </c>
      <c r="Q26">
        <v>1</v>
      </c>
      <c r="W26">
        <v>0</v>
      </c>
      <c r="X26">
        <v>1032761012</v>
      </c>
      <c r="Y26">
        <f>(AT26*ROUND(0.3,7))</f>
        <v>3.0000000000000001E-3</v>
      </c>
      <c r="AA26">
        <v>0</v>
      </c>
      <c r="AB26">
        <v>578.28</v>
      </c>
      <c r="AC26">
        <v>490.55</v>
      </c>
      <c r="AD26">
        <v>0</v>
      </c>
      <c r="AE26">
        <v>0</v>
      </c>
      <c r="AF26">
        <v>477.92</v>
      </c>
      <c r="AG26">
        <v>490.55</v>
      </c>
      <c r="AH26">
        <v>0</v>
      </c>
      <c r="AI26">
        <v>1</v>
      </c>
      <c r="AJ26">
        <v>1.21</v>
      </c>
      <c r="AK26">
        <v>1</v>
      </c>
      <c r="AL26">
        <v>1</v>
      </c>
      <c r="AM26">
        <v>2</v>
      </c>
      <c r="AN26">
        <v>0</v>
      </c>
      <c r="AO26">
        <v>0</v>
      </c>
      <c r="AP26">
        <v>1</v>
      </c>
      <c r="AQ26">
        <v>1</v>
      </c>
      <c r="AR26">
        <v>0</v>
      </c>
      <c r="AS26" t="s">
        <v>3</v>
      </c>
      <c r="AT26">
        <v>0.01</v>
      </c>
      <c r="AU26" t="s">
        <v>127</v>
      </c>
      <c r="AV26">
        <v>1</v>
      </c>
      <c r="AW26">
        <v>2</v>
      </c>
      <c r="AX26">
        <v>65174784</v>
      </c>
      <c r="AY26">
        <v>1</v>
      </c>
      <c r="AZ26">
        <v>0</v>
      </c>
      <c r="BA26">
        <v>26</v>
      </c>
      <c r="BB26">
        <v>1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4.7792000000000003</v>
      </c>
      <c r="BL26">
        <v>4.9055</v>
      </c>
      <c r="BM26">
        <v>0</v>
      </c>
      <c r="BN26">
        <v>0</v>
      </c>
      <c r="BO26">
        <v>0.01</v>
      </c>
      <c r="BP26">
        <v>1</v>
      </c>
      <c r="BQ26">
        <v>0</v>
      </c>
      <c r="BR26">
        <v>1.4337600000000001</v>
      </c>
      <c r="BS26">
        <v>1.4716500000000001</v>
      </c>
      <c r="BT26">
        <v>0</v>
      </c>
      <c r="BU26">
        <v>0</v>
      </c>
      <c r="BV26">
        <v>3.0000000000000001E-3</v>
      </c>
      <c r="BW26">
        <v>1</v>
      </c>
      <c r="CV26">
        <v>0</v>
      </c>
      <c r="CW26">
        <f>ROUND(Y26*Source!I104*DO26,7)</f>
        <v>1.7999999999999999E-2</v>
      </c>
      <c r="CX26">
        <f>ROUND(Y26*Source!I104,7)</f>
        <v>1.7999999999999999E-2</v>
      </c>
      <c r="CY26">
        <f>AB26</f>
        <v>578.28</v>
      </c>
      <c r="CZ26">
        <f>AF26</f>
        <v>477.92</v>
      </c>
      <c r="DA26">
        <f>AJ26</f>
        <v>1.21</v>
      </c>
      <c r="DB26">
        <f>ROUND((ROUND(AT26*CZ26,2)*ROUND(0.3,7)),6)</f>
        <v>1.4339999999999999</v>
      </c>
      <c r="DC26">
        <f>ROUND((ROUND(AT26*AG26,2)*ROUND(0.3,7)),6)</f>
        <v>1.4730000000000001</v>
      </c>
      <c r="DD26" t="s">
        <v>3</v>
      </c>
      <c r="DE26" t="s">
        <v>3</v>
      </c>
      <c r="DF26">
        <f>ROUND(ROUND(AE26,2)*CX26,2)</f>
        <v>0</v>
      </c>
      <c r="DG26">
        <f>ROUND(ROUND(AF26*AJ26,2)*CX26,2)</f>
        <v>10.41</v>
      </c>
      <c r="DH26">
        <f t="shared" si="1"/>
        <v>8.83</v>
      </c>
      <c r="DI26">
        <f t="shared" si="2"/>
        <v>0</v>
      </c>
      <c r="DJ26">
        <f>DG26+DH26</f>
        <v>19.240000000000002</v>
      </c>
      <c r="DK26">
        <v>0</v>
      </c>
      <c r="DL26" t="s">
        <v>312</v>
      </c>
      <c r="DM26">
        <v>4</v>
      </c>
      <c r="DN26" t="s">
        <v>296</v>
      </c>
      <c r="DO26">
        <v>1</v>
      </c>
    </row>
    <row r="27" spans="1:119" x14ac:dyDescent="0.2">
      <c r="A27">
        <f>ROW(Source!A104)</f>
        <v>104</v>
      </c>
      <c r="B27">
        <v>65174513</v>
      </c>
      <c r="C27">
        <v>65174771</v>
      </c>
      <c r="D27">
        <v>63953063</v>
      </c>
      <c r="E27">
        <v>1</v>
      </c>
      <c r="F27">
        <v>1</v>
      </c>
      <c r="G27">
        <v>1</v>
      </c>
      <c r="H27">
        <v>3</v>
      </c>
      <c r="I27" t="s">
        <v>352</v>
      </c>
      <c r="J27" t="s">
        <v>353</v>
      </c>
      <c r="K27" t="s">
        <v>354</v>
      </c>
      <c r="L27">
        <v>1348</v>
      </c>
      <c r="N27">
        <v>1009</v>
      </c>
      <c r="O27" t="s">
        <v>338</v>
      </c>
      <c r="P27" t="s">
        <v>338</v>
      </c>
      <c r="Q27">
        <v>1000</v>
      </c>
      <c r="W27">
        <v>0</v>
      </c>
      <c r="X27">
        <v>1633468425</v>
      </c>
      <c r="Y27">
        <f>(AT27*ROUND(0,7))</f>
        <v>0</v>
      </c>
      <c r="AA27">
        <v>135080.51999999999</v>
      </c>
      <c r="AB27">
        <v>0</v>
      </c>
      <c r="AC27">
        <v>0</v>
      </c>
      <c r="AD27">
        <v>0</v>
      </c>
      <c r="AE27">
        <v>116448.72</v>
      </c>
      <c r="AF27">
        <v>0</v>
      </c>
      <c r="AG27">
        <v>0</v>
      </c>
      <c r="AH27">
        <v>0</v>
      </c>
      <c r="AI27">
        <v>1.1599999999999999</v>
      </c>
      <c r="AJ27">
        <v>1</v>
      </c>
      <c r="AK27">
        <v>1</v>
      </c>
      <c r="AL27">
        <v>1</v>
      </c>
      <c r="AM27">
        <v>2</v>
      </c>
      <c r="AN27">
        <v>0</v>
      </c>
      <c r="AO27">
        <v>0</v>
      </c>
      <c r="AP27">
        <v>1</v>
      </c>
      <c r="AQ27">
        <v>1</v>
      </c>
      <c r="AR27">
        <v>0</v>
      </c>
      <c r="AS27" t="s">
        <v>3</v>
      </c>
      <c r="AT27">
        <v>8.0000000000000004E-4</v>
      </c>
      <c r="AU27" t="s">
        <v>126</v>
      </c>
      <c r="AV27">
        <v>0</v>
      </c>
      <c r="AW27">
        <v>2</v>
      </c>
      <c r="AX27">
        <v>65174785</v>
      </c>
      <c r="AY27">
        <v>1</v>
      </c>
      <c r="AZ27">
        <v>0</v>
      </c>
      <c r="BA27">
        <v>27</v>
      </c>
      <c r="BB27">
        <v>1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93.15897600000001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1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CV27">
        <v>0</v>
      </c>
      <c r="CW27">
        <v>0</v>
      </c>
      <c r="CX27">
        <f>ROUND(Y27*Source!I104,7)</f>
        <v>0</v>
      </c>
      <c r="CY27">
        <f>AA27</f>
        <v>135080.51999999999</v>
      </c>
      <c r="CZ27">
        <f>AE27</f>
        <v>116448.72</v>
      </c>
      <c r="DA27">
        <f>AI27</f>
        <v>1.1599999999999999</v>
      </c>
      <c r="DB27">
        <f>ROUND((ROUND(AT27*CZ27,2)*ROUND(0,7)),6)</f>
        <v>0</v>
      </c>
      <c r="DC27">
        <f>ROUND((ROUND(AT27*AG27,2)*ROUND(0,7)),6)</f>
        <v>0</v>
      </c>
      <c r="DD27" t="s">
        <v>3</v>
      </c>
      <c r="DE27" t="s">
        <v>3</v>
      </c>
      <c r="DF27">
        <f>ROUND(ROUND(AE27*AI27,2)*CX27,2)</f>
        <v>0</v>
      </c>
      <c r="DG27">
        <f t="shared" ref="DG27:DG33" si="15">ROUND(ROUND(AF27,2)*CX27,2)</f>
        <v>0</v>
      </c>
      <c r="DH27">
        <f t="shared" si="1"/>
        <v>0</v>
      </c>
      <c r="DI27">
        <f t="shared" si="2"/>
        <v>0</v>
      </c>
      <c r="DJ27">
        <f>DF27</f>
        <v>0</v>
      </c>
      <c r="DK27">
        <v>0</v>
      </c>
      <c r="DL27" t="s">
        <v>3</v>
      </c>
      <c r="DM27">
        <v>0</v>
      </c>
      <c r="DN27" t="s">
        <v>3</v>
      </c>
      <c r="DO27">
        <v>0</v>
      </c>
    </row>
    <row r="28" spans="1:119" x14ac:dyDescent="0.2">
      <c r="A28">
        <f>ROW(Source!A104)</f>
        <v>104</v>
      </c>
      <c r="B28">
        <v>65174513</v>
      </c>
      <c r="C28">
        <v>65174771</v>
      </c>
      <c r="D28">
        <v>63953080</v>
      </c>
      <c r="E28">
        <v>1</v>
      </c>
      <c r="F28">
        <v>1</v>
      </c>
      <c r="G28">
        <v>1</v>
      </c>
      <c r="H28">
        <v>3</v>
      </c>
      <c r="I28" t="s">
        <v>355</v>
      </c>
      <c r="J28" t="s">
        <v>356</v>
      </c>
      <c r="K28" t="s">
        <v>357</v>
      </c>
      <c r="L28">
        <v>1348</v>
      </c>
      <c r="N28">
        <v>1009</v>
      </c>
      <c r="O28" t="s">
        <v>338</v>
      </c>
      <c r="P28" t="s">
        <v>338</v>
      </c>
      <c r="Q28">
        <v>1000</v>
      </c>
      <c r="W28">
        <v>0</v>
      </c>
      <c r="X28">
        <v>-1314008619</v>
      </c>
      <c r="Y28">
        <f>(AT28*ROUND(0,7))</f>
        <v>0</v>
      </c>
      <c r="AA28">
        <v>144834.14000000001</v>
      </c>
      <c r="AB28">
        <v>0</v>
      </c>
      <c r="AC28">
        <v>0</v>
      </c>
      <c r="AD28">
        <v>0</v>
      </c>
      <c r="AE28">
        <v>81827.199999999997</v>
      </c>
      <c r="AF28">
        <v>0</v>
      </c>
      <c r="AG28">
        <v>0</v>
      </c>
      <c r="AH28">
        <v>0</v>
      </c>
      <c r="AI28">
        <v>1.77</v>
      </c>
      <c r="AJ28">
        <v>1</v>
      </c>
      <c r="AK28">
        <v>1</v>
      </c>
      <c r="AL28">
        <v>1</v>
      </c>
      <c r="AM28">
        <v>2</v>
      </c>
      <c r="AN28">
        <v>0</v>
      </c>
      <c r="AO28">
        <v>0</v>
      </c>
      <c r="AP28">
        <v>1</v>
      </c>
      <c r="AQ28">
        <v>1</v>
      </c>
      <c r="AR28">
        <v>0</v>
      </c>
      <c r="AS28" t="s">
        <v>3</v>
      </c>
      <c r="AT28">
        <v>2.0000000000000002E-5</v>
      </c>
      <c r="AU28" t="s">
        <v>126</v>
      </c>
      <c r="AV28">
        <v>0</v>
      </c>
      <c r="AW28">
        <v>2</v>
      </c>
      <c r="AX28">
        <v>65174786</v>
      </c>
      <c r="AY28">
        <v>1</v>
      </c>
      <c r="AZ28">
        <v>0</v>
      </c>
      <c r="BA28">
        <v>28</v>
      </c>
      <c r="BB28">
        <v>1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1.636544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1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CV28">
        <v>0</v>
      </c>
      <c r="CW28">
        <v>0</v>
      </c>
      <c r="CX28">
        <f>ROUND(Y28*Source!I104,7)</f>
        <v>0</v>
      </c>
      <c r="CY28">
        <f>AA28</f>
        <v>144834.14000000001</v>
      </c>
      <c r="CZ28">
        <f>AE28</f>
        <v>81827.199999999997</v>
      </c>
      <c r="DA28">
        <f>AI28</f>
        <v>1.77</v>
      </c>
      <c r="DB28">
        <f>ROUND((ROUND(AT28*CZ28,2)*ROUND(0,7)),6)</f>
        <v>0</v>
      </c>
      <c r="DC28">
        <f>ROUND((ROUND(AT28*AG28,2)*ROUND(0,7)),6)</f>
        <v>0</v>
      </c>
      <c r="DD28" t="s">
        <v>3</v>
      </c>
      <c r="DE28" t="s">
        <v>3</v>
      </c>
      <c r="DF28">
        <f>ROUND(ROUND(AE28*AI28,2)*CX28,2)</f>
        <v>0</v>
      </c>
      <c r="DG28">
        <f t="shared" si="15"/>
        <v>0</v>
      </c>
      <c r="DH28">
        <f t="shared" si="1"/>
        <v>0</v>
      </c>
      <c r="DI28">
        <f t="shared" si="2"/>
        <v>0</v>
      </c>
      <c r="DJ28">
        <f>DF28</f>
        <v>0</v>
      </c>
      <c r="DK28">
        <v>0</v>
      </c>
      <c r="DL28" t="s">
        <v>3</v>
      </c>
      <c r="DM28">
        <v>0</v>
      </c>
      <c r="DN28" t="s">
        <v>3</v>
      </c>
      <c r="DO28">
        <v>0</v>
      </c>
    </row>
    <row r="29" spans="1:119" x14ac:dyDescent="0.2">
      <c r="A29">
        <f>ROW(Source!A104)</f>
        <v>104</v>
      </c>
      <c r="B29">
        <v>65174513</v>
      </c>
      <c r="C29">
        <v>65174771</v>
      </c>
      <c r="D29">
        <v>63954970</v>
      </c>
      <c r="E29">
        <v>1</v>
      </c>
      <c r="F29">
        <v>1</v>
      </c>
      <c r="G29">
        <v>1</v>
      </c>
      <c r="H29">
        <v>3</v>
      </c>
      <c r="I29" t="s">
        <v>331</v>
      </c>
      <c r="J29" t="s">
        <v>332</v>
      </c>
      <c r="K29" t="s">
        <v>333</v>
      </c>
      <c r="L29">
        <v>1302</v>
      </c>
      <c r="N29">
        <v>1003</v>
      </c>
      <c r="O29" t="s">
        <v>334</v>
      </c>
      <c r="P29" t="s">
        <v>334</v>
      </c>
      <c r="Q29">
        <v>10</v>
      </c>
      <c r="W29">
        <v>0</v>
      </c>
      <c r="X29">
        <v>713922976</v>
      </c>
      <c r="Y29">
        <f>(AT29*ROUND(0,7))</f>
        <v>0</v>
      </c>
      <c r="AA29">
        <v>57.7</v>
      </c>
      <c r="AB29">
        <v>0</v>
      </c>
      <c r="AC29">
        <v>0</v>
      </c>
      <c r="AD29">
        <v>0</v>
      </c>
      <c r="AE29">
        <v>37.71</v>
      </c>
      <c r="AF29">
        <v>0</v>
      </c>
      <c r="AG29">
        <v>0</v>
      </c>
      <c r="AH29">
        <v>0</v>
      </c>
      <c r="AI29">
        <v>1.53</v>
      </c>
      <c r="AJ29">
        <v>1</v>
      </c>
      <c r="AK29">
        <v>1</v>
      </c>
      <c r="AL29">
        <v>1</v>
      </c>
      <c r="AM29">
        <v>2</v>
      </c>
      <c r="AN29">
        <v>0</v>
      </c>
      <c r="AO29">
        <v>0</v>
      </c>
      <c r="AP29">
        <v>1</v>
      </c>
      <c r="AQ29">
        <v>1</v>
      </c>
      <c r="AR29">
        <v>0</v>
      </c>
      <c r="AS29" t="s">
        <v>3</v>
      </c>
      <c r="AT29">
        <v>2.4E-2</v>
      </c>
      <c r="AU29" t="s">
        <v>126</v>
      </c>
      <c r="AV29">
        <v>0</v>
      </c>
      <c r="AW29">
        <v>2</v>
      </c>
      <c r="AX29">
        <v>65174787</v>
      </c>
      <c r="AY29">
        <v>1</v>
      </c>
      <c r="AZ29">
        <v>0</v>
      </c>
      <c r="BA29">
        <v>29</v>
      </c>
      <c r="BB29">
        <v>1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0.90504000000000007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1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CV29">
        <v>0</v>
      </c>
      <c r="CW29">
        <v>0</v>
      </c>
      <c r="CX29">
        <f>ROUND(Y29*Source!I104,7)</f>
        <v>0</v>
      </c>
      <c r="CY29">
        <f>AA29</f>
        <v>57.7</v>
      </c>
      <c r="CZ29">
        <f>AE29</f>
        <v>37.71</v>
      </c>
      <c r="DA29">
        <f>AI29</f>
        <v>1.53</v>
      </c>
      <c r="DB29">
        <f>ROUND((ROUND(AT29*CZ29,2)*ROUND(0,7)),6)</f>
        <v>0</v>
      </c>
      <c r="DC29">
        <f>ROUND((ROUND(AT29*AG29,2)*ROUND(0,7)),6)</f>
        <v>0</v>
      </c>
      <c r="DD29" t="s">
        <v>3</v>
      </c>
      <c r="DE29" t="s">
        <v>3</v>
      </c>
      <c r="DF29">
        <f>ROUND(ROUND(AE29*AI29,2)*CX29,2)</f>
        <v>0</v>
      </c>
      <c r="DG29">
        <f t="shared" si="15"/>
        <v>0</v>
      </c>
      <c r="DH29">
        <f t="shared" si="1"/>
        <v>0</v>
      </c>
      <c r="DI29">
        <f t="shared" si="2"/>
        <v>0</v>
      </c>
      <c r="DJ29">
        <f>DF29</f>
        <v>0</v>
      </c>
      <c r="DK29">
        <v>0</v>
      </c>
      <c r="DL29" t="s">
        <v>3</v>
      </c>
      <c r="DM29">
        <v>0</v>
      </c>
      <c r="DN29" t="s">
        <v>3</v>
      </c>
      <c r="DO29">
        <v>0</v>
      </c>
    </row>
    <row r="30" spans="1:119" x14ac:dyDescent="0.2">
      <c r="A30">
        <f>ROW(Source!A104)</f>
        <v>104</v>
      </c>
      <c r="B30">
        <v>65174513</v>
      </c>
      <c r="C30">
        <v>65174771</v>
      </c>
      <c r="D30">
        <v>63979957</v>
      </c>
      <c r="E30">
        <v>1</v>
      </c>
      <c r="F30">
        <v>1</v>
      </c>
      <c r="G30">
        <v>1</v>
      </c>
      <c r="H30">
        <v>3</v>
      </c>
      <c r="I30" t="s">
        <v>358</v>
      </c>
      <c r="J30" t="s">
        <v>359</v>
      </c>
      <c r="K30" t="s">
        <v>360</v>
      </c>
      <c r="L30">
        <v>1425</v>
      </c>
      <c r="N30">
        <v>1013</v>
      </c>
      <c r="O30" t="s">
        <v>185</v>
      </c>
      <c r="P30" t="s">
        <v>185</v>
      </c>
      <c r="Q30">
        <v>1</v>
      </c>
      <c r="W30">
        <v>0</v>
      </c>
      <c r="X30">
        <v>-189401294</v>
      </c>
      <c r="Y30">
        <f>(AT30*ROUND(0,7))</f>
        <v>0</v>
      </c>
      <c r="AA30">
        <v>36051.879999999997</v>
      </c>
      <c r="AB30">
        <v>0</v>
      </c>
      <c r="AC30">
        <v>0</v>
      </c>
      <c r="AD30">
        <v>0</v>
      </c>
      <c r="AE30">
        <v>28612.6</v>
      </c>
      <c r="AF30">
        <v>0</v>
      </c>
      <c r="AG30">
        <v>0</v>
      </c>
      <c r="AH30">
        <v>0</v>
      </c>
      <c r="AI30">
        <v>1.26</v>
      </c>
      <c r="AJ30">
        <v>1</v>
      </c>
      <c r="AK30">
        <v>1</v>
      </c>
      <c r="AL30">
        <v>1</v>
      </c>
      <c r="AM30">
        <v>2</v>
      </c>
      <c r="AN30">
        <v>0</v>
      </c>
      <c r="AO30">
        <v>0</v>
      </c>
      <c r="AP30">
        <v>1</v>
      </c>
      <c r="AQ30">
        <v>1</v>
      </c>
      <c r="AR30">
        <v>0</v>
      </c>
      <c r="AS30" t="s">
        <v>3</v>
      </c>
      <c r="AT30">
        <v>3.1E-2</v>
      </c>
      <c r="AU30" t="s">
        <v>126</v>
      </c>
      <c r="AV30">
        <v>0</v>
      </c>
      <c r="AW30">
        <v>2</v>
      </c>
      <c r="AX30">
        <v>65174788</v>
      </c>
      <c r="AY30">
        <v>1</v>
      </c>
      <c r="AZ30">
        <v>0</v>
      </c>
      <c r="BA30">
        <v>30</v>
      </c>
      <c r="BB30">
        <v>1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886.99059999999997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1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CV30">
        <v>0</v>
      </c>
      <c r="CW30">
        <v>0</v>
      </c>
      <c r="CX30">
        <f>ROUND(Y30*Source!I104,7)</f>
        <v>0</v>
      </c>
      <c r="CY30">
        <f>AA30</f>
        <v>36051.879999999997</v>
      </c>
      <c r="CZ30">
        <f>AE30</f>
        <v>28612.6</v>
      </c>
      <c r="DA30">
        <f>AI30</f>
        <v>1.26</v>
      </c>
      <c r="DB30">
        <f>ROUND((ROUND(AT30*CZ30,2)*ROUND(0,7)),6)</f>
        <v>0</v>
      </c>
      <c r="DC30">
        <f>ROUND((ROUND(AT30*AG30,2)*ROUND(0,7)),6)</f>
        <v>0</v>
      </c>
      <c r="DD30" t="s">
        <v>3</v>
      </c>
      <c r="DE30" t="s">
        <v>3</v>
      </c>
      <c r="DF30">
        <f>ROUND(ROUND(AE30*AI30,2)*CX30,2)</f>
        <v>0</v>
      </c>
      <c r="DG30">
        <f t="shared" si="15"/>
        <v>0</v>
      </c>
      <c r="DH30">
        <f t="shared" si="1"/>
        <v>0</v>
      </c>
      <c r="DI30">
        <f t="shared" si="2"/>
        <v>0</v>
      </c>
      <c r="DJ30">
        <f>DF30</f>
        <v>0</v>
      </c>
      <c r="DK30">
        <v>0</v>
      </c>
      <c r="DL30" t="s">
        <v>3</v>
      </c>
      <c r="DM30">
        <v>0</v>
      </c>
      <c r="DN30" t="s">
        <v>3</v>
      </c>
      <c r="DO30">
        <v>0</v>
      </c>
    </row>
    <row r="31" spans="1:119" x14ac:dyDescent="0.2">
      <c r="A31">
        <f>ROW(Source!A104)</f>
        <v>104</v>
      </c>
      <c r="B31">
        <v>65174513</v>
      </c>
      <c r="C31">
        <v>65174771</v>
      </c>
      <c r="D31">
        <v>63889959</v>
      </c>
      <c r="E31">
        <v>112</v>
      </c>
      <c r="F31">
        <v>1</v>
      </c>
      <c r="G31">
        <v>1</v>
      </c>
      <c r="H31">
        <v>3</v>
      </c>
      <c r="I31" t="s">
        <v>348</v>
      </c>
      <c r="J31" t="s">
        <v>3</v>
      </c>
      <c r="K31" t="s">
        <v>349</v>
      </c>
      <c r="L31">
        <v>3277935</v>
      </c>
      <c r="N31">
        <v>1013</v>
      </c>
      <c r="O31" t="s">
        <v>350</v>
      </c>
      <c r="P31" t="s">
        <v>350</v>
      </c>
      <c r="Q31">
        <v>1</v>
      </c>
      <c r="W31">
        <v>0</v>
      </c>
      <c r="X31">
        <v>274903907</v>
      </c>
      <c r="Y31">
        <f t="shared" ref="Y31:Y75" si="16">AT31</f>
        <v>2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1</v>
      </c>
      <c r="AJ31">
        <v>1</v>
      </c>
      <c r="AK31">
        <v>1</v>
      </c>
      <c r="AL31">
        <v>1</v>
      </c>
      <c r="AM31">
        <v>-2</v>
      </c>
      <c r="AN31">
        <v>0</v>
      </c>
      <c r="AO31">
        <v>0</v>
      </c>
      <c r="AP31">
        <v>0</v>
      </c>
      <c r="AQ31">
        <v>1</v>
      </c>
      <c r="AR31">
        <v>0</v>
      </c>
      <c r="AS31" t="s">
        <v>3</v>
      </c>
      <c r="AT31">
        <v>2</v>
      </c>
      <c r="AU31" t="s">
        <v>3</v>
      </c>
      <c r="AV31">
        <v>0</v>
      </c>
      <c r="AW31">
        <v>2</v>
      </c>
      <c r="AX31">
        <v>65174789</v>
      </c>
      <c r="AY31">
        <v>1</v>
      </c>
      <c r="AZ31">
        <v>2048</v>
      </c>
      <c r="BA31">
        <v>31</v>
      </c>
      <c r="BB31">
        <v>1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CV31">
        <v>0</v>
      </c>
      <c r="CW31">
        <v>0</v>
      </c>
      <c r="CX31">
        <f>ROUND(Y31*Source!I104,7)</f>
        <v>12</v>
      </c>
      <c r="CY31">
        <f>AA31</f>
        <v>0</v>
      </c>
      <c r="CZ31">
        <f>AE31</f>
        <v>0</v>
      </c>
      <c r="DA31">
        <f>AI31</f>
        <v>1</v>
      </c>
      <c r="DB31">
        <f t="shared" ref="DB31:DB75" si="17">ROUND(ROUND(AT31*CZ31,2),6)</f>
        <v>0</v>
      </c>
      <c r="DC31">
        <f t="shared" ref="DC31:DC75" si="18">ROUND(ROUND(AT31*AG31,2),6)</f>
        <v>0</v>
      </c>
      <c r="DD31" t="s">
        <v>3</v>
      </c>
      <c r="DE31" t="s">
        <v>3</v>
      </c>
      <c r="DF31">
        <f t="shared" ref="DF31:DF44" si="19">ROUND(ROUND(AE31,2)*CX31,2)</f>
        <v>0</v>
      </c>
      <c r="DG31">
        <f t="shared" si="15"/>
        <v>0</v>
      </c>
      <c r="DH31">
        <f t="shared" si="1"/>
        <v>0</v>
      </c>
      <c r="DI31">
        <f t="shared" si="2"/>
        <v>0</v>
      </c>
      <c r="DJ31">
        <f>DF31</f>
        <v>0</v>
      </c>
      <c r="DK31">
        <v>0</v>
      </c>
      <c r="DL31" t="s">
        <v>3</v>
      </c>
      <c r="DM31">
        <v>0</v>
      </c>
      <c r="DN31" t="s">
        <v>3</v>
      </c>
      <c r="DO31">
        <v>0</v>
      </c>
    </row>
    <row r="32" spans="1:119" x14ac:dyDescent="0.2">
      <c r="A32">
        <f>ROW(Source!A140)</f>
        <v>140</v>
      </c>
      <c r="B32">
        <v>65174513</v>
      </c>
      <c r="C32">
        <v>65174847</v>
      </c>
      <c r="D32">
        <v>37064878</v>
      </c>
      <c r="E32">
        <v>109</v>
      </c>
      <c r="F32">
        <v>1</v>
      </c>
      <c r="G32">
        <v>1</v>
      </c>
      <c r="H32">
        <v>1</v>
      </c>
      <c r="I32" t="s">
        <v>316</v>
      </c>
      <c r="J32" t="s">
        <v>3</v>
      </c>
      <c r="K32" t="s">
        <v>317</v>
      </c>
      <c r="L32">
        <v>1191</v>
      </c>
      <c r="N32">
        <v>1013</v>
      </c>
      <c r="O32" t="s">
        <v>296</v>
      </c>
      <c r="P32" t="s">
        <v>296</v>
      </c>
      <c r="Q32">
        <v>1</v>
      </c>
      <c r="W32">
        <v>0</v>
      </c>
      <c r="X32">
        <v>-2012709214</v>
      </c>
      <c r="Y32">
        <f t="shared" si="16"/>
        <v>5.3</v>
      </c>
      <c r="AA32">
        <v>0</v>
      </c>
      <c r="AB32">
        <v>0</v>
      </c>
      <c r="AC32">
        <v>0</v>
      </c>
      <c r="AD32">
        <v>479.56</v>
      </c>
      <c r="AE32">
        <v>0</v>
      </c>
      <c r="AF32">
        <v>0</v>
      </c>
      <c r="AG32">
        <v>0</v>
      </c>
      <c r="AH32">
        <v>479.56</v>
      </c>
      <c r="AI32">
        <v>1</v>
      </c>
      <c r="AJ32">
        <v>1</v>
      </c>
      <c r="AK32">
        <v>1</v>
      </c>
      <c r="AL32">
        <v>1</v>
      </c>
      <c r="AM32">
        <v>-2</v>
      </c>
      <c r="AN32">
        <v>0</v>
      </c>
      <c r="AO32">
        <v>0</v>
      </c>
      <c r="AP32">
        <v>1</v>
      </c>
      <c r="AQ32">
        <v>1</v>
      </c>
      <c r="AR32">
        <v>0</v>
      </c>
      <c r="AS32" t="s">
        <v>3</v>
      </c>
      <c r="AT32">
        <v>5.3</v>
      </c>
      <c r="AU32" t="s">
        <v>3</v>
      </c>
      <c r="AV32">
        <v>1</v>
      </c>
      <c r="AW32">
        <v>2</v>
      </c>
      <c r="AX32">
        <v>65174851</v>
      </c>
      <c r="AY32">
        <v>1</v>
      </c>
      <c r="AZ32">
        <v>0</v>
      </c>
      <c r="BA32">
        <v>32</v>
      </c>
      <c r="BB32">
        <v>1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2541.6680000000001</v>
      </c>
      <c r="BN32">
        <v>5.3</v>
      </c>
      <c r="BO32">
        <v>0</v>
      </c>
      <c r="BP32">
        <v>1</v>
      </c>
      <c r="BQ32">
        <v>0</v>
      </c>
      <c r="BR32">
        <v>0</v>
      </c>
      <c r="BS32">
        <v>0</v>
      </c>
      <c r="BT32">
        <v>2541.6680000000001</v>
      </c>
      <c r="BU32">
        <v>5.3</v>
      </c>
      <c r="BV32">
        <v>0</v>
      </c>
      <c r="BW32">
        <v>1</v>
      </c>
      <c r="CU32">
        <f>ROUND(AT32*Source!I140*AH32*AL32,2)</f>
        <v>33550.019999999997</v>
      </c>
      <c r="CV32">
        <f>ROUND(Y32*Source!I140,7)</f>
        <v>69.959999999999994</v>
      </c>
      <c r="CW32">
        <v>0</v>
      </c>
      <c r="CX32">
        <f>ROUND(Y32*Source!I140,7)</f>
        <v>69.959999999999994</v>
      </c>
      <c r="CY32">
        <f>AD32</f>
        <v>479.56</v>
      </c>
      <c r="CZ32">
        <f>AH32</f>
        <v>479.56</v>
      </c>
      <c r="DA32">
        <f>AL32</f>
        <v>1</v>
      </c>
      <c r="DB32">
        <f t="shared" si="17"/>
        <v>2541.67</v>
      </c>
      <c r="DC32">
        <f t="shared" si="18"/>
        <v>0</v>
      </c>
      <c r="DD32" t="s">
        <v>3</v>
      </c>
      <c r="DE32" t="s">
        <v>3</v>
      </c>
      <c r="DF32">
        <f t="shared" si="19"/>
        <v>0</v>
      </c>
      <c r="DG32">
        <f t="shared" si="15"/>
        <v>0</v>
      </c>
      <c r="DH32">
        <f t="shared" si="1"/>
        <v>0</v>
      </c>
      <c r="DI32">
        <f t="shared" si="2"/>
        <v>33550.019999999997</v>
      </c>
      <c r="DJ32">
        <f>DI32</f>
        <v>33550.019999999997</v>
      </c>
      <c r="DK32">
        <v>1</v>
      </c>
      <c r="DL32" t="s">
        <v>3</v>
      </c>
      <c r="DM32">
        <v>0</v>
      </c>
      <c r="DN32" t="s">
        <v>3</v>
      </c>
      <c r="DO32">
        <v>0</v>
      </c>
    </row>
    <row r="33" spans="1:119" x14ac:dyDescent="0.2">
      <c r="A33">
        <f>ROW(Source!A140)</f>
        <v>140</v>
      </c>
      <c r="B33">
        <v>65174513</v>
      </c>
      <c r="C33">
        <v>65174847</v>
      </c>
      <c r="D33">
        <v>37064876</v>
      </c>
      <c r="E33">
        <v>109</v>
      </c>
      <c r="F33">
        <v>1</v>
      </c>
      <c r="G33">
        <v>1</v>
      </c>
      <c r="H33">
        <v>1</v>
      </c>
      <c r="I33" t="s">
        <v>306</v>
      </c>
      <c r="J33" t="s">
        <v>3</v>
      </c>
      <c r="K33" t="s">
        <v>307</v>
      </c>
      <c r="L33">
        <v>1191</v>
      </c>
      <c r="N33">
        <v>1013</v>
      </c>
      <c r="O33" t="s">
        <v>296</v>
      </c>
      <c r="P33" t="s">
        <v>296</v>
      </c>
      <c r="Q33">
        <v>1</v>
      </c>
      <c r="W33">
        <v>0</v>
      </c>
      <c r="X33">
        <v>-1417349443</v>
      </c>
      <c r="Y33">
        <f t="shared" si="16"/>
        <v>3.9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1</v>
      </c>
      <c r="AJ33">
        <v>1</v>
      </c>
      <c r="AK33">
        <v>1</v>
      </c>
      <c r="AL33">
        <v>1</v>
      </c>
      <c r="AM33">
        <v>-2</v>
      </c>
      <c r="AN33">
        <v>0</v>
      </c>
      <c r="AO33">
        <v>0</v>
      </c>
      <c r="AP33">
        <v>1</v>
      </c>
      <c r="AQ33">
        <v>1</v>
      </c>
      <c r="AR33">
        <v>0</v>
      </c>
      <c r="AS33" t="s">
        <v>3</v>
      </c>
      <c r="AT33">
        <v>3.9</v>
      </c>
      <c r="AU33" t="s">
        <v>3</v>
      </c>
      <c r="AV33">
        <v>2</v>
      </c>
      <c r="AW33">
        <v>2</v>
      </c>
      <c r="AX33">
        <v>65174852</v>
      </c>
      <c r="AY33">
        <v>1</v>
      </c>
      <c r="AZ33">
        <v>0</v>
      </c>
      <c r="BA33">
        <v>33</v>
      </c>
      <c r="BB33">
        <v>1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</v>
      </c>
      <c r="CV33">
        <v>0</v>
      </c>
      <c r="CW33">
        <v>0</v>
      </c>
      <c r="CX33">
        <f>ROUND(Y33*Source!I140,7)</f>
        <v>51.48</v>
      </c>
      <c r="CY33">
        <f>AD33</f>
        <v>0</v>
      </c>
      <c r="CZ33">
        <f>AH33</f>
        <v>0</v>
      </c>
      <c r="DA33">
        <f>AL33</f>
        <v>1</v>
      </c>
      <c r="DB33">
        <f t="shared" si="17"/>
        <v>0</v>
      </c>
      <c r="DC33">
        <f t="shared" si="18"/>
        <v>0</v>
      </c>
      <c r="DD33" t="s">
        <v>3</v>
      </c>
      <c r="DE33" t="s">
        <v>3</v>
      </c>
      <c r="DF33">
        <f t="shared" si="19"/>
        <v>0</v>
      </c>
      <c r="DG33">
        <f t="shared" si="15"/>
        <v>0</v>
      </c>
      <c r="DH33">
        <f t="shared" ref="DH33:DH64" si="20">ROUND(ROUND(AG33,2)*CX33,2)</f>
        <v>0</v>
      </c>
      <c r="DI33">
        <f t="shared" ref="DI33:DI64" si="21">ROUND(ROUND(AH33,2)*CX33,2)</f>
        <v>0</v>
      </c>
      <c r="DJ33">
        <f>DI33</f>
        <v>0</v>
      </c>
      <c r="DK33">
        <v>0</v>
      </c>
      <c r="DL33" t="s">
        <v>3</v>
      </c>
      <c r="DM33">
        <v>0</v>
      </c>
      <c r="DN33" t="s">
        <v>3</v>
      </c>
      <c r="DO33">
        <v>0</v>
      </c>
    </row>
    <row r="34" spans="1:119" x14ac:dyDescent="0.2">
      <c r="A34">
        <f>ROW(Source!A140)</f>
        <v>140</v>
      </c>
      <c r="B34">
        <v>65174513</v>
      </c>
      <c r="C34">
        <v>65174847</v>
      </c>
      <c r="D34">
        <v>59055768</v>
      </c>
      <c r="E34">
        <v>1</v>
      </c>
      <c r="F34">
        <v>1</v>
      </c>
      <c r="G34">
        <v>1</v>
      </c>
      <c r="H34">
        <v>2</v>
      </c>
      <c r="I34" t="s">
        <v>328</v>
      </c>
      <c r="J34" t="s">
        <v>329</v>
      </c>
      <c r="K34" t="s">
        <v>330</v>
      </c>
      <c r="L34">
        <v>1368</v>
      </c>
      <c r="N34">
        <v>1011</v>
      </c>
      <c r="O34" t="s">
        <v>311</v>
      </c>
      <c r="P34" t="s">
        <v>311</v>
      </c>
      <c r="Q34">
        <v>1</v>
      </c>
      <c r="W34">
        <v>0</v>
      </c>
      <c r="X34">
        <v>721652621</v>
      </c>
      <c r="Y34">
        <f t="shared" si="16"/>
        <v>3.9</v>
      </c>
      <c r="AA34">
        <v>0</v>
      </c>
      <c r="AB34">
        <v>578.28</v>
      </c>
      <c r="AC34">
        <v>490.55</v>
      </c>
      <c r="AD34">
        <v>0</v>
      </c>
      <c r="AE34">
        <v>0</v>
      </c>
      <c r="AF34">
        <v>477.92</v>
      </c>
      <c r="AG34">
        <v>490.55</v>
      </c>
      <c r="AH34">
        <v>0</v>
      </c>
      <c r="AI34">
        <v>1</v>
      </c>
      <c r="AJ34">
        <v>1.21</v>
      </c>
      <c r="AK34">
        <v>1</v>
      </c>
      <c r="AL34">
        <v>1</v>
      </c>
      <c r="AM34">
        <v>2</v>
      </c>
      <c r="AN34">
        <v>0</v>
      </c>
      <c r="AO34">
        <v>0</v>
      </c>
      <c r="AP34">
        <v>1</v>
      </c>
      <c r="AQ34">
        <v>1</v>
      </c>
      <c r="AR34">
        <v>0</v>
      </c>
      <c r="AS34" t="s">
        <v>3</v>
      </c>
      <c r="AT34">
        <v>3.9</v>
      </c>
      <c r="AU34" t="s">
        <v>3</v>
      </c>
      <c r="AV34">
        <v>1</v>
      </c>
      <c r="AW34">
        <v>2</v>
      </c>
      <c r="AX34">
        <v>65174853</v>
      </c>
      <c r="AY34">
        <v>1</v>
      </c>
      <c r="AZ34">
        <v>0</v>
      </c>
      <c r="BA34">
        <v>34</v>
      </c>
      <c r="BB34">
        <v>1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1863.8879999999999</v>
      </c>
      <c r="BL34">
        <v>1913.145</v>
      </c>
      <c r="BM34">
        <v>0</v>
      </c>
      <c r="BN34">
        <v>0</v>
      </c>
      <c r="BO34">
        <v>3.9</v>
      </c>
      <c r="BP34">
        <v>1</v>
      </c>
      <c r="BQ34">
        <v>0</v>
      </c>
      <c r="BR34">
        <v>1863.8879999999999</v>
      </c>
      <c r="BS34">
        <v>1913.145</v>
      </c>
      <c r="BT34">
        <v>0</v>
      </c>
      <c r="BU34">
        <v>0</v>
      </c>
      <c r="BV34">
        <v>3.9</v>
      </c>
      <c r="BW34">
        <v>1</v>
      </c>
      <c r="CV34">
        <v>0</v>
      </c>
      <c r="CW34">
        <f>ROUND(Y34*Source!I140*DO34,7)</f>
        <v>51.48</v>
      </c>
      <c r="CX34">
        <f>ROUND(Y34*Source!I140,7)</f>
        <v>51.48</v>
      </c>
      <c r="CY34">
        <f>AB34</f>
        <v>578.28</v>
      </c>
      <c r="CZ34">
        <f>AF34</f>
        <v>477.92</v>
      </c>
      <c r="DA34">
        <f>AJ34</f>
        <v>1.21</v>
      </c>
      <c r="DB34">
        <f t="shared" si="17"/>
        <v>1863.89</v>
      </c>
      <c r="DC34">
        <f t="shared" si="18"/>
        <v>1913.15</v>
      </c>
      <c r="DD34" t="s">
        <v>3</v>
      </c>
      <c r="DE34" t="s">
        <v>3</v>
      </c>
      <c r="DF34">
        <f t="shared" si="19"/>
        <v>0</v>
      </c>
      <c r="DG34">
        <f>ROUND(ROUND(AF34*AJ34,2)*CX34,2)</f>
        <v>29769.85</v>
      </c>
      <c r="DH34">
        <f t="shared" si="20"/>
        <v>25253.51</v>
      </c>
      <c r="DI34">
        <f t="shared" si="21"/>
        <v>0</v>
      </c>
      <c r="DJ34">
        <f>DG34+DH34</f>
        <v>55023.360000000001</v>
      </c>
      <c r="DK34">
        <v>0</v>
      </c>
      <c r="DL34" t="s">
        <v>312</v>
      </c>
      <c r="DM34">
        <v>4</v>
      </c>
      <c r="DN34" t="s">
        <v>296</v>
      </c>
      <c r="DO34">
        <v>1</v>
      </c>
    </row>
    <row r="35" spans="1:119" x14ac:dyDescent="0.2">
      <c r="A35">
        <f>ROW(Source!A141)</f>
        <v>141</v>
      </c>
      <c r="B35">
        <v>65174513</v>
      </c>
      <c r="C35">
        <v>65174855</v>
      </c>
      <c r="D35">
        <v>37064878</v>
      </c>
      <c r="E35">
        <v>112</v>
      </c>
      <c r="F35">
        <v>1</v>
      </c>
      <c r="G35">
        <v>1</v>
      </c>
      <c r="H35">
        <v>1</v>
      </c>
      <c r="I35" t="s">
        <v>316</v>
      </c>
      <c r="J35" t="s">
        <v>3</v>
      </c>
      <c r="K35" t="s">
        <v>351</v>
      </c>
      <c r="L35">
        <v>1191</v>
      </c>
      <c r="N35">
        <v>1013</v>
      </c>
      <c r="O35" t="s">
        <v>296</v>
      </c>
      <c r="P35" t="s">
        <v>296</v>
      </c>
      <c r="Q35">
        <v>1</v>
      </c>
      <c r="W35">
        <v>0</v>
      </c>
      <c r="X35">
        <v>44848675</v>
      </c>
      <c r="Y35">
        <f t="shared" si="16"/>
        <v>1.99</v>
      </c>
      <c r="AA35">
        <v>0</v>
      </c>
      <c r="AB35">
        <v>0</v>
      </c>
      <c r="AC35">
        <v>0</v>
      </c>
      <c r="AD35">
        <v>479.56</v>
      </c>
      <c r="AE35">
        <v>0</v>
      </c>
      <c r="AF35">
        <v>0</v>
      </c>
      <c r="AG35">
        <v>0</v>
      </c>
      <c r="AH35">
        <v>479.56</v>
      </c>
      <c r="AI35">
        <v>1</v>
      </c>
      <c r="AJ35">
        <v>1</v>
      </c>
      <c r="AK35">
        <v>1</v>
      </c>
      <c r="AL35">
        <v>1</v>
      </c>
      <c r="AM35">
        <v>-2</v>
      </c>
      <c r="AN35">
        <v>0</v>
      </c>
      <c r="AO35">
        <v>0</v>
      </c>
      <c r="AP35">
        <v>1</v>
      </c>
      <c r="AQ35">
        <v>1</v>
      </c>
      <c r="AR35">
        <v>0</v>
      </c>
      <c r="AS35" t="s">
        <v>3</v>
      </c>
      <c r="AT35">
        <v>1.99</v>
      </c>
      <c r="AU35" t="s">
        <v>3</v>
      </c>
      <c r="AV35">
        <v>1</v>
      </c>
      <c r="AW35">
        <v>2</v>
      </c>
      <c r="AX35">
        <v>65174860</v>
      </c>
      <c r="AY35">
        <v>1</v>
      </c>
      <c r="AZ35">
        <v>0</v>
      </c>
      <c r="BA35">
        <v>36</v>
      </c>
      <c r="BB35">
        <v>1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954.32439999999997</v>
      </c>
      <c r="BN35">
        <v>1.99</v>
      </c>
      <c r="BO35">
        <v>0</v>
      </c>
      <c r="BP35">
        <v>1</v>
      </c>
      <c r="BQ35">
        <v>0</v>
      </c>
      <c r="BR35">
        <v>0</v>
      </c>
      <c r="BS35">
        <v>0</v>
      </c>
      <c r="BT35">
        <v>954.32439999999997</v>
      </c>
      <c r="BU35">
        <v>1.99</v>
      </c>
      <c r="BV35">
        <v>0</v>
      </c>
      <c r="BW35">
        <v>1</v>
      </c>
      <c r="CU35">
        <f>ROUND(AT35*Source!I141*AH35*AL35,2)</f>
        <v>12597.08</v>
      </c>
      <c r="CV35">
        <f>ROUND(Y35*Source!I141,7)</f>
        <v>26.268000000000001</v>
      </c>
      <c r="CW35">
        <v>0</v>
      </c>
      <c r="CX35">
        <f>ROUND(Y35*Source!I141,7)</f>
        <v>26.268000000000001</v>
      </c>
      <c r="CY35">
        <f>AD35</f>
        <v>479.56</v>
      </c>
      <c r="CZ35">
        <f>AH35</f>
        <v>479.56</v>
      </c>
      <c r="DA35">
        <f>AL35</f>
        <v>1</v>
      </c>
      <c r="DB35">
        <f t="shared" si="17"/>
        <v>954.32</v>
      </c>
      <c r="DC35">
        <f t="shared" si="18"/>
        <v>0</v>
      </c>
      <c r="DD35" t="s">
        <v>3</v>
      </c>
      <c r="DE35" t="s">
        <v>3</v>
      </c>
      <c r="DF35">
        <f t="shared" si="19"/>
        <v>0</v>
      </c>
      <c r="DG35">
        <f>ROUND(ROUND(AF35,2)*CX35,2)</f>
        <v>0</v>
      </c>
      <c r="DH35">
        <f t="shared" si="20"/>
        <v>0</v>
      </c>
      <c r="DI35">
        <f t="shared" si="21"/>
        <v>12597.08</v>
      </c>
      <c r="DJ35">
        <f>DI35</f>
        <v>12597.08</v>
      </c>
      <c r="DK35">
        <v>1</v>
      </c>
      <c r="DL35" t="s">
        <v>3</v>
      </c>
      <c r="DM35">
        <v>0</v>
      </c>
      <c r="DN35" t="s">
        <v>3</v>
      </c>
      <c r="DO35">
        <v>0</v>
      </c>
    </row>
    <row r="36" spans="1:119" x14ac:dyDescent="0.2">
      <c r="A36">
        <f>ROW(Source!A141)</f>
        <v>141</v>
      </c>
      <c r="B36">
        <v>65174513</v>
      </c>
      <c r="C36">
        <v>65174855</v>
      </c>
      <c r="D36">
        <v>37064876</v>
      </c>
      <c r="E36">
        <v>112</v>
      </c>
      <c r="F36">
        <v>1</v>
      </c>
      <c r="G36">
        <v>1</v>
      </c>
      <c r="H36">
        <v>1</v>
      </c>
      <c r="I36" t="s">
        <v>306</v>
      </c>
      <c r="J36" t="s">
        <v>3</v>
      </c>
      <c r="K36" t="s">
        <v>307</v>
      </c>
      <c r="L36">
        <v>1191</v>
      </c>
      <c r="N36">
        <v>1013</v>
      </c>
      <c r="O36" t="s">
        <v>296</v>
      </c>
      <c r="P36" t="s">
        <v>296</v>
      </c>
      <c r="Q36">
        <v>1</v>
      </c>
      <c r="W36">
        <v>0</v>
      </c>
      <c r="X36">
        <v>-1417349443</v>
      </c>
      <c r="Y36">
        <f t="shared" si="16"/>
        <v>0.08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1</v>
      </c>
      <c r="AJ36">
        <v>1</v>
      </c>
      <c r="AK36">
        <v>1</v>
      </c>
      <c r="AL36">
        <v>1</v>
      </c>
      <c r="AM36">
        <v>-2</v>
      </c>
      <c r="AN36">
        <v>0</v>
      </c>
      <c r="AO36">
        <v>0</v>
      </c>
      <c r="AP36">
        <v>1</v>
      </c>
      <c r="AQ36">
        <v>1</v>
      </c>
      <c r="AR36">
        <v>0</v>
      </c>
      <c r="AS36" t="s">
        <v>3</v>
      </c>
      <c r="AT36">
        <v>0.08</v>
      </c>
      <c r="AU36" t="s">
        <v>3</v>
      </c>
      <c r="AV36">
        <v>2</v>
      </c>
      <c r="AW36">
        <v>2</v>
      </c>
      <c r="AX36">
        <v>65174861</v>
      </c>
      <c r="AY36">
        <v>1</v>
      </c>
      <c r="AZ36">
        <v>0</v>
      </c>
      <c r="BA36">
        <v>37</v>
      </c>
      <c r="BB36">
        <v>1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CV36">
        <v>0</v>
      </c>
      <c r="CW36">
        <v>0</v>
      </c>
      <c r="CX36">
        <f>ROUND(Y36*Source!I141,7)</f>
        <v>1.056</v>
      </c>
      <c r="CY36">
        <f>AD36</f>
        <v>0</v>
      </c>
      <c r="CZ36">
        <f>AH36</f>
        <v>0</v>
      </c>
      <c r="DA36">
        <f>AL36</f>
        <v>1</v>
      </c>
      <c r="DB36">
        <f t="shared" si="17"/>
        <v>0</v>
      </c>
      <c r="DC36">
        <f t="shared" si="18"/>
        <v>0</v>
      </c>
      <c r="DD36" t="s">
        <v>3</v>
      </c>
      <c r="DE36" t="s">
        <v>3</v>
      </c>
      <c r="DF36">
        <f t="shared" si="19"/>
        <v>0</v>
      </c>
      <c r="DG36">
        <f>ROUND(ROUND(AF36,2)*CX36,2)</f>
        <v>0</v>
      </c>
      <c r="DH36">
        <f t="shared" si="20"/>
        <v>0</v>
      </c>
      <c r="DI36">
        <f t="shared" si="21"/>
        <v>0</v>
      </c>
      <c r="DJ36">
        <f>DI36</f>
        <v>0</v>
      </c>
      <c r="DK36">
        <v>0</v>
      </c>
      <c r="DL36" t="s">
        <v>3</v>
      </c>
      <c r="DM36">
        <v>0</v>
      </c>
      <c r="DN36" t="s">
        <v>3</v>
      </c>
      <c r="DO36">
        <v>0</v>
      </c>
    </row>
    <row r="37" spans="1:119" x14ac:dyDescent="0.2">
      <c r="A37">
        <f>ROW(Source!A141)</f>
        <v>141</v>
      </c>
      <c r="B37">
        <v>65174513</v>
      </c>
      <c r="C37">
        <v>65174855</v>
      </c>
      <c r="D37">
        <v>64002400</v>
      </c>
      <c r="E37">
        <v>1</v>
      </c>
      <c r="F37">
        <v>1</v>
      </c>
      <c r="G37">
        <v>1</v>
      </c>
      <c r="H37">
        <v>2</v>
      </c>
      <c r="I37" t="s">
        <v>328</v>
      </c>
      <c r="J37" t="s">
        <v>329</v>
      </c>
      <c r="K37" t="s">
        <v>330</v>
      </c>
      <c r="L37">
        <v>1368</v>
      </c>
      <c r="N37">
        <v>1011</v>
      </c>
      <c r="O37" t="s">
        <v>311</v>
      </c>
      <c r="P37" t="s">
        <v>311</v>
      </c>
      <c r="Q37">
        <v>1</v>
      </c>
      <c r="W37">
        <v>0</v>
      </c>
      <c r="X37">
        <v>1032761012</v>
      </c>
      <c r="Y37">
        <f t="shared" si="16"/>
        <v>0.08</v>
      </c>
      <c r="AA37">
        <v>0</v>
      </c>
      <c r="AB37">
        <v>578.28</v>
      </c>
      <c r="AC37">
        <v>490.55</v>
      </c>
      <c r="AD37">
        <v>0</v>
      </c>
      <c r="AE37">
        <v>0</v>
      </c>
      <c r="AF37">
        <v>477.92</v>
      </c>
      <c r="AG37">
        <v>490.55</v>
      </c>
      <c r="AH37">
        <v>0</v>
      </c>
      <c r="AI37">
        <v>1</v>
      </c>
      <c r="AJ37">
        <v>1.21</v>
      </c>
      <c r="AK37">
        <v>1</v>
      </c>
      <c r="AL37">
        <v>1</v>
      </c>
      <c r="AM37">
        <v>2</v>
      </c>
      <c r="AN37">
        <v>0</v>
      </c>
      <c r="AO37">
        <v>0</v>
      </c>
      <c r="AP37">
        <v>1</v>
      </c>
      <c r="AQ37">
        <v>1</v>
      </c>
      <c r="AR37">
        <v>0</v>
      </c>
      <c r="AS37" t="s">
        <v>3</v>
      </c>
      <c r="AT37">
        <v>0.08</v>
      </c>
      <c r="AU37" t="s">
        <v>3</v>
      </c>
      <c r="AV37">
        <v>1</v>
      </c>
      <c r="AW37">
        <v>2</v>
      </c>
      <c r="AX37">
        <v>65174862</v>
      </c>
      <c r="AY37">
        <v>1</v>
      </c>
      <c r="AZ37">
        <v>0</v>
      </c>
      <c r="BA37">
        <v>38</v>
      </c>
      <c r="BB37">
        <v>1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38.233600000000003</v>
      </c>
      <c r="BL37">
        <v>39.244</v>
      </c>
      <c r="BM37">
        <v>0</v>
      </c>
      <c r="BN37">
        <v>0</v>
      </c>
      <c r="BO37">
        <v>0.08</v>
      </c>
      <c r="BP37">
        <v>1</v>
      </c>
      <c r="BQ37">
        <v>0</v>
      </c>
      <c r="BR37">
        <v>38.233600000000003</v>
      </c>
      <c r="BS37">
        <v>39.244</v>
      </c>
      <c r="BT37">
        <v>0</v>
      </c>
      <c r="BU37">
        <v>0</v>
      </c>
      <c r="BV37">
        <v>0.08</v>
      </c>
      <c r="BW37">
        <v>1</v>
      </c>
      <c r="CV37">
        <v>0</v>
      </c>
      <c r="CW37">
        <f>ROUND(Y37*Source!I141*DO37,7)</f>
        <v>1.056</v>
      </c>
      <c r="CX37">
        <f>ROUND(Y37*Source!I141,7)</f>
        <v>1.056</v>
      </c>
      <c r="CY37">
        <f>AB37</f>
        <v>578.28</v>
      </c>
      <c r="CZ37">
        <f>AF37</f>
        <v>477.92</v>
      </c>
      <c r="DA37">
        <f>AJ37</f>
        <v>1.21</v>
      </c>
      <c r="DB37">
        <f t="shared" si="17"/>
        <v>38.229999999999997</v>
      </c>
      <c r="DC37">
        <f t="shared" si="18"/>
        <v>39.24</v>
      </c>
      <c r="DD37" t="s">
        <v>3</v>
      </c>
      <c r="DE37" t="s">
        <v>3</v>
      </c>
      <c r="DF37">
        <f t="shared" si="19"/>
        <v>0</v>
      </c>
      <c r="DG37">
        <f>ROUND(ROUND(AF37*AJ37,2)*CX37,2)</f>
        <v>610.66</v>
      </c>
      <c r="DH37">
        <f t="shared" si="20"/>
        <v>518.02</v>
      </c>
      <c r="DI37">
        <f t="shared" si="21"/>
        <v>0</v>
      </c>
      <c r="DJ37">
        <f>DG37+DH37</f>
        <v>1128.6799999999998</v>
      </c>
      <c r="DK37">
        <v>0</v>
      </c>
      <c r="DL37" t="s">
        <v>312</v>
      </c>
      <c r="DM37">
        <v>4</v>
      </c>
      <c r="DN37" t="s">
        <v>296</v>
      </c>
      <c r="DO37">
        <v>1</v>
      </c>
    </row>
    <row r="38" spans="1:119" x14ac:dyDescent="0.2">
      <c r="A38">
        <f>ROW(Source!A141)</f>
        <v>141</v>
      </c>
      <c r="B38">
        <v>65174513</v>
      </c>
      <c r="C38">
        <v>65174855</v>
      </c>
      <c r="D38">
        <v>63889959</v>
      </c>
      <c r="E38">
        <v>112</v>
      </c>
      <c r="F38">
        <v>1</v>
      </c>
      <c r="G38">
        <v>1</v>
      </c>
      <c r="H38">
        <v>3</v>
      </c>
      <c r="I38" t="s">
        <v>348</v>
      </c>
      <c r="J38" t="s">
        <v>3</v>
      </c>
      <c r="K38" t="s">
        <v>349</v>
      </c>
      <c r="L38">
        <v>3277935</v>
      </c>
      <c r="N38">
        <v>1013</v>
      </c>
      <c r="O38" t="s">
        <v>350</v>
      </c>
      <c r="P38" t="s">
        <v>350</v>
      </c>
      <c r="Q38">
        <v>1</v>
      </c>
      <c r="W38">
        <v>0</v>
      </c>
      <c r="X38">
        <v>274903907</v>
      </c>
      <c r="Y38">
        <f t="shared" si="16"/>
        <v>2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1</v>
      </c>
      <c r="AJ38">
        <v>1</v>
      </c>
      <c r="AK38">
        <v>1</v>
      </c>
      <c r="AL38">
        <v>1</v>
      </c>
      <c r="AM38">
        <v>-2</v>
      </c>
      <c r="AN38">
        <v>0</v>
      </c>
      <c r="AO38">
        <v>0</v>
      </c>
      <c r="AP38">
        <v>0</v>
      </c>
      <c r="AQ38">
        <v>1</v>
      </c>
      <c r="AR38">
        <v>0</v>
      </c>
      <c r="AS38" t="s">
        <v>3</v>
      </c>
      <c r="AT38">
        <v>2</v>
      </c>
      <c r="AU38" t="s">
        <v>3</v>
      </c>
      <c r="AV38">
        <v>0</v>
      </c>
      <c r="AW38">
        <v>2</v>
      </c>
      <c r="AX38">
        <v>65174863</v>
      </c>
      <c r="AY38">
        <v>1</v>
      </c>
      <c r="AZ38">
        <v>0</v>
      </c>
      <c r="BA38">
        <v>39</v>
      </c>
      <c r="BB38">
        <v>1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CV38">
        <v>0</v>
      </c>
      <c r="CW38">
        <v>0</v>
      </c>
      <c r="CX38">
        <f>ROUND(Y38*Source!I141,7)</f>
        <v>26.4</v>
      </c>
      <c r="CY38">
        <f>AA38</f>
        <v>0</v>
      </c>
      <c r="CZ38">
        <f>AE38</f>
        <v>0</v>
      </c>
      <c r="DA38">
        <f>AI38</f>
        <v>1</v>
      </c>
      <c r="DB38">
        <f t="shared" si="17"/>
        <v>0</v>
      </c>
      <c r="DC38">
        <f t="shared" si="18"/>
        <v>0</v>
      </c>
      <c r="DD38" t="s">
        <v>3</v>
      </c>
      <c r="DE38" t="s">
        <v>3</v>
      </c>
      <c r="DF38">
        <f t="shared" si="19"/>
        <v>0</v>
      </c>
      <c r="DG38">
        <f>ROUND(ROUND(AF38,2)*CX38,2)</f>
        <v>0</v>
      </c>
      <c r="DH38">
        <f t="shared" si="20"/>
        <v>0</v>
      </c>
      <c r="DI38">
        <f t="shared" si="21"/>
        <v>0</v>
      </c>
      <c r="DJ38">
        <f>DF38</f>
        <v>0</v>
      </c>
      <c r="DK38">
        <v>0</v>
      </c>
      <c r="DL38" t="s">
        <v>3</v>
      </c>
      <c r="DM38">
        <v>0</v>
      </c>
      <c r="DN38" t="s">
        <v>3</v>
      </c>
      <c r="DO38">
        <v>0</v>
      </c>
    </row>
    <row r="39" spans="1:119" x14ac:dyDescent="0.2">
      <c r="A39">
        <f>ROW(Source!A142)</f>
        <v>142</v>
      </c>
      <c r="B39">
        <v>65174513</v>
      </c>
      <c r="C39">
        <v>65174864</v>
      </c>
      <c r="D39">
        <v>37064878</v>
      </c>
      <c r="E39">
        <v>109</v>
      </c>
      <c r="F39">
        <v>1</v>
      </c>
      <c r="G39">
        <v>1</v>
      </c>
      <c r="H39">
        <v>1</v>
      </c>
      <c r="I39" t="s">
        <v>316</v>
      </c>
      <c r="J39" t="s">
        <v>3</v>
      </c>
      <c r="K39" t="s">
        <v>317</v>
      </c>
      <c r="L39">
        <v>1191</v>
      </c>
      <c r="N39">
        <v>1013</v>
      </c>
      <c r="O39" t="s">
        <v>296</v>
      </c>
      <c r="P39" t="s">
        <v>296</v>
      </c>
      <c r="Q39">
        <v>1</v>
      </c>
      <c r="W39">
        <v>0</v>
      </c>
      <c r="X39">
        <v>-2012709214</v>
      </c>
      <c r="Y39">
        <f t="shared" si="16"/>
        <v>17.440000000000001</v>
      </c>
      <c r="AA39">
        <v>0</v>
      </c>
      <c r="AB39">
        <v>0</v>
      </c>
      <c r="AC39">
        <v>0</v>
      </c>
      <c r="AD39">
        <v>479.56</v>
      </c>
      <c r="AE39">
        <v>0</v>
      </c>
      <c r="AF39">
        <v>0</v>
      </c>
      <c r="AG39">
        <v>0</v>
      </c>
      <c r="AH39">
        <v>479.56</v>
      </c>
      <c r="AI39">
        <v>1</v>
      </c>
      <c r="AJ39">
        <v>1</v>
      </c>
      <c r="AK39">
        <v>1</v>
      </c>
      <c r="AL39">
        <v>1</v>
      </c>
      <c r="AM39">
        <v>-2</v>
      </c>
      <c r="AN39">
        <v>0</v>
      </c>
      <c r="AO39">
        <v>0</v>
      </c>
      <c r="AP39">
        <v>1</v>
      </c>
      <c r="AQ39">
        <v>1</v>
      </c>
      <c r="AR39">
        <v>0</v>
      </c>
      <c r="AS39" t="s">
        <v>3</v>
      </c>
      <c r="AT39">
        <v>17.440000000000001</v>
      </c>
      <c r="AU39" t="s">
        <v>3</v>
      </c>
      <c r="AV39">
        <v>1</v>
      </c>
      <c r="AW39">
        <v>2</v>
      </c>
      <c r="AX39">
        <v>65174877</v>
      </c>
      <c r="AY39">
        <v>1</v>
      </c>
      <c r="AZ39">
        <v>0</v>
      </c>
      <c r="BA39">
        <v>40</v>
      </c>
      <c r="BB39">
        <v>1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8363.5264000000006</v>
      </c>
      <c r="BN39">
        <v>17.440000000000001</v>
      </c>
      <c r="BO39">
        <v>0</v>
      </c>
      <c r="BP39">
        <v>1</v>
      </c>
      <c r="BQ39">
        <v>0</v>
      </c>
      <c r="BR39">
        <v>0</v>
      </c>
      <c r="BS39">
        <v>0</v>
      </c>
      <c r="BT39">
        <v>8363.5264000000006</v>
      </c>
      <c r="BU39">
        <v>17.440000000000001</v>
      </c>
      <c r="BV39">
        <v>0</v>
      </c>
      <c r="BW39">
        <v>1</v>
      </c>
      <c r="CU39">
        <f>ROUND(AT39*Source!I142*AH39*AL39,2)</f>
        <v>220797.1</v>
      </c>
      <c r="CV39">
        <f>ROUND(Y39*Source!I142,7)</f>
        <v>460.416</v>
      </c>
      <c r="CW39">
        <v>0</v>
      </c>
      <c r="CX39">
        <f>ROUND(Y39*Source!I142,7)</f>
        <v>460.416</v>
      </c>
      <c r="CY39">
        <f>AD39</f>
        <v>479.56</v>
      </c>
      <c r="CZ39">
        <f>AH39</f>
        <v>479.56</v>
      </c>
      <c r="DA39">
        <f>AL39</f>
        <v>1</v>
      </c>
      <c r="DB39">
        <f t="shared" si="17"/>
        <v>8363.5300000000007</v>
      </c>
      <c r="DC39">
        <f t="shared" si="18"/>
        <v>0</v>
      </c>
      <c r="DD39" t="s">
        <v>3</v>
      </c>
      <c r="DE39" t="s">
        <v>3</v>
      </c>
      <c r="DF39">
        <f t="shared" si="19"/>
        <v>0</v>
      </c>
      <c r="DG39">
        <f>ROUND(ROUND(AF39,2)*CX39,2)</f>
        <v>0</v>
      </c>
      <c r="DH39">
        <f t="shared" si="20"/>
        <v>0</v>
      </c>
      <c r="DI39">
        <f t="shared" si="21"/>
        <v>220797.1</v>
      </c>
      <c r="DJ39">
        <f>DI39</f>
        <v>220797.1</v>
      </c>
      <c r="DK39">
        <v>1</v>
      </c>
      <c r="DL39" t="s">
        <v>3</v>
      </c>
      <c r="DM39">
        <v>0</v>
      </c>
      <c r="DN39" t="s">
        <v>3</v>
      </c>
      <c r="DO39">
        <v>0</v>
      </c>
    </row>
    <row r="40" spans="1:119" x14ac:dyDescent="0.2">
      <c r="A40">
        <f>ROW(Source!A142)</f>
        <v>142</v>
      </c>
      <c r="B40">
        <v>65174513</v>
      </c>
      <c r="C40">
        <v>65174864</v>
      </c>
      <c r="D40">
        <v>37064876</v>
      </c>
      <c r="E40">
        <v>109</v>
      </c>
      <c r="F40">
        <v>1</v>
      </c>
      <c r="G40">
        <v>1</v>
      </c>
      <c r="H40">
        <v>1</v>
      </c>
      <c r="I40" t="s">
        <v>306</v>
      </c>
      <c r="J40" t="s">
        <v>3</v>
      </c>
      <c r="K40" t="s">
        <v>307</v>
      </c>
      <c r="L40">
        <v>1191</v>
      </c>
      <c r="N40">
        <v>1013</v>
      </c>
      <c r="O40" t="s">
        <v>296</v>
      </c>
      <c r="P40" t="s">
        <v>296</v>
      </c>
      <c r="Q40">
        <v>1</v>
      </c>
      <c r="W40">
        <v>0</v>
      </c>
      <c r="X40">
        <v>-1417349443</v>
      </c>
      <c r="Y40">
        <f t="shared" si="16"/>
        <v>2.64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1</v>
      </c>
      <c r="AJ40">
        <v>1</v>
      </c>
      <c r="AK40">
        <v>1</v>
      </c>
      <c r="AL40">
        <v>1</v>
      </c>
      <c r="AM40">
        <v>-2</v>
      </c>
      <c r="AN40">
        <v>0</v>
      </c>
      <c r="AO40">
        <v>0</v>
      </c>
      <c r="AP40">
        <v>1</v>
      </c>
      <c r="AQ40">
        <v>1</v>
      </c>
      <c r="AR40">
        <v>0</v>
      </c>
      <c r="AS40" t="s">
        <v>3</v>
      </c>
      <c r="AT40">
        <v>2.64</v>
      </c>
      <c r="AU40" t="s">
        <v>3</v>
      </c>
      <c r="AV40">
        <v>2</v>
      </c>
      <c r="AW40">
        <v>2</v>
      </c>
      <c r="AX40">
        <v>65174878</v>
      </c>
      <c r="AY40">
        <v>1</v>
      </c>
      <c r="AZ40">
        <v>0</v>
      </c>
      <c r="BA40">
        <v>41</v>
      </c>
      <c r="BB40">
        <v>1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CV40">
        <v>0</v>
      </c>
      <c r="CW40">
        <v>0</v>
      </c>
      <c r="CX40">
        <f>ROUND(Y40*Source!I142,7)</f>
        <v>69.695999999999998</v>
      </c>
      <c r="CY40">
        <f>AD40</f>
        <v>0</v>
      </c>
      <c r="CZ40">
        <f>AH40</f>
        <v>0</v>
      </c>
      <c r="DA40">
        <f>AL40</f>
        <v>1</v>
      </c>
      <c r="DB40">
        <f t="shared" si="17"/>
        <v>0</v>
      </c>
      <c r="DC40">
        <f t="shared" si="18"/>
        <v>0</v>
      </c>
      <c r="DD40" t="s">
        <v>3</v>
      </c>
      <c r="DE40" t="s">
        <v>3</v>
      </c>
      <c r="DF40">
        <f t="shared" si="19"/>
        <v>0</v>
      </c>
      <c r="DG40">
        <f>ROUND(ROUND(AF40,2)*CX40,2)</f>
        <v>0</v>
      </c>
      <c r="DH40">
        <f t="shared" si="20"/>
        <v>0</v>
      </c>
      <c r="DI40">
        <f t="shared" si="21"/>
        <v>0</v>
      </c>
      <c r="DJ40">
        <f>DI40</f>
        <v>0</v>
      </c>
      <c r="DK40">
        <v>0</v>
      </c>
      <c r="DL40" t="s">
        <v>3</v>
      </c>
      <c r="DM40">
        <v>0</v>
      </c>
      <c r="DN40" t="s">
        <v>3</v>
      </c>
      <c r="DO40">
        <v>0</v>
      </c>
    </row>
    <row r="41" spans="1:119" x14ac:dyDescent="0.2">
      <c r="A41">
        <f>ROW(Source!A142)</f>
        <v>142</v>
      </c>
      <c r="B41">
        <v>65174513</v>
      </c>
      <c r="C41">
        <v>65174864</v>
      </c>
      <c r="D41">
        <v>59054880</v>
      </c>
      <c r="E41">
        <v>1</v>
      </c>
      <c r="F41">
        <v>1</v>
      </c>
      <c r="G41">
        <v>1</v>
      </c>
      <c r="H41">
        <v>2</v>
      </c>
      <c r="I41" t="s">
        <v>318</v>
      </c>
      <c r="J41" t="s">
        <v>319</v>
      </c>
      <c r="K41" t="s">
        <v>320</v>
      </c>
      <c r="L41">
        <v>1368</v>
      </c>
      <c r="N41">
        <v>1011</v>
      </c>
      <c r="O41" t="s">
        <v>311</v>
      </c>
      <c r="P41" t="s">
        <v>311</v>
      </c>
      <c r="Q41">
        <v>1</v>
      </c>
      <c r="W41">
        <v>0</v>
      </c>
      <c r="X41">
        <v>-776243211</v>
      </c>
      <c r="Y41">
        <f t="shared" si="16"/>
        <v>1.32</v>
      </c>
      <c r="AA41">
        <v>0</v>
      </c>
      <c r="AB41">
        <v>1551.19</v>
      </c>
      <c r="AC41">
        <v>658.94</v>
      </c>
      <c r="AD41">
        <v>0</v>
      </c>
      <c r="AE41">
        <v>0</v>
      </c>
      <c r="AF41">
        <v>1551.19</v>
      </c>
      <c r="AG41">
        <v>658.94</v>
      </c>
      <c r="AH41">
        <v>0</v>
      </c>
      <c r="AI41">
        <v>1</v>
      </c>
      <c r="AJ41">
        <v>1</v>
      </c>
      <c r="AK41">
        <v>1</v>
      </c>
      <c r="AL41">
        <v>1</v>
      </c>
      <c r="AM41">
        <v>-2</v>
      </c>
      <c r="AN41">
        <v>0</v>
      </c>
      <c r="AO41">
        <v>0</v>
      </c>
      <c r="AP41">
        <v>1</v>
      </c>
      <c r="AQ41">
        <v>1</v>
      </c>
      <c r="AR41">
        <v>0</v>
      </c>
      <c r="AS41" t="s">
        <v>3</v>
      </c>
      <c r="AT41">
        <v>1.32</v>
      </c>
      <c r="AU41" t="s">
        <v>3</v>
      </c>
      <c r="AV41">
        <v>1</v>
      </c>
      <c r="AW41">
        <v>2</v>
      </c>
      <c r="AX41">
        <v>65174879</v>
      </c>
      <c r="AY41">
        <v>1</v>
      </c>
      <c r="AZ41">
        <v>0</v>
      </c>
      <c r="BA41">
        <v>42</v>
      </c>
      <c r="BB41">
        <v>1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2047.5708000000002</v>
      </c>
      <c r="BL41">
        <v>869.80080000000009</v>
      </c>
      <c r="BM41">
        <v>0</v>
      </c>
      <c r="BN41">
        <v>0</v>
      </c>
      <c r="BO41">
        <v>1.32</v>
      </c>
      <c r="BP41">
        <v>1</v>
      </c>
      <c r="BQ41">
        <v>0</v>
      </c>
      <c r="BR41">
        <v>2047.5708000000002</v>
      </c>
      <c r="BS41">
        <v>869.80080000000009</v>
      </c>
      <c r="BT41">
        <v>0</v>
      </c>
      <c r="BU41">
        <v>0</v>
      </c>
      <c r="BV41">
        <v>1.32</v>
      </c>
      <c r="BW41">
        <v>1</v>
      </c>
      <c r="CV41">
        <v>0</v>
      </c>
      <c r="CW41">
        <f>ROUND(Y41*Source!I142*DO41,7)</f>
        <v>34.847999999999999</v>
      </c>
      <c r="CX41">
        <f>ROUND(Y41*Source!I142,7)</f>
        <v>34.847999999999999</v>
      </c>
      <c r="CY41">
        <f>AB41</f>
        <v>1551.19</v>
      </c>
      <c r="CZ41">
        <f>AF41</f>
        <v>1551.19</v>
      </c>
      <c r="DA41">
        <f>AJ41</f>
        <v>1</v>
      </c>
      <c r="DB41">
        <f t="shared" si="17"/>
        <v>2047.57</v>
      </c>
      <c r="DC41">
        <f t="shared" si="18"/>
        <v>869.8</v>
      </c>
      <c r="DD41" t="s">
        <v>3</v>
      </c>
      <c r="DE41" t="s">
        <v>3</v>
      </c>
      <c r="DF41">
        <f t="shared" si="19"/>
        <v>0</v>
      </c>
      <c r="DG41">
        <f>ROUND(ROUND(AF41,2)*CX41,2)</f>
        <v>54055.87</v>
      </c>
      <c r="DH41">
        <f t="shared" si="20"/>
        <v>22962.74</v>
      </c>
      <c r="DI41">
        <f t="shared" si="21"/>
        <v>0</v>
      </c>
      <c r="DJ41">
        <f>DG41+DH41</f>
        <v>77018.61</v>
      </c>
      <c r="DK41">
        <v>1</v>
      </c>
      <c r="DL41" t="s">
        <v>321</v>
      </c>
      <c r="DM41">
        <v>6</v>
      </c>
      <c r="DN41" t="s">
        <v>296</v>
      </c>
      <c r="DO41">
        <v>1</v>
      </c>
    </row>
    <row r="42" spans="1:119" x14ac:dyDescent="0.2">
      <c r="A42">
        <f>ROW(Source!A142)</f>
        <v>142</v>
      </c>
      <c r="B42">
        <v>65174513</v>
      </c>
      <c r="C42">
        <v>65174864</v>
      </c>
      <c r="D42">
        <v>59054978</v>
      </c>
      <c r="E42">
        <v>1</v>
      </c>
      <c r="F42">
        <v>1</v>
      </c>
      <c r="G42">
        <v>1</v>
      </c>
      <c r="H42">
        <v>2</v>
      </c>
      <c r="I42" t="s">
        <v>322</v>
      </c>
      <c r="J42" t="s">
        <v>323</v>
      </c>
      <c r="K42" t="s">
        <v>324</v>
      </c>
      <c r="L42">
        <v>1368</v>
      </c>
      <c r="N42">
        <v>1011</v>
      </c>
      <c r="O42" t="s">
        <v>311</v>
      </c>
      <c r="P42" t="s">
        <v>311</v>
      </c>
      <c r="Q42">
        <v>1</v>
      </c>
      <c r="W42">
        <v>0</v>
      </c>
      <c r="X42">
        <v>-2097933609</v>
      </c>
      <c r="Y42">
        <f t="shared" si="16"/>
        <v>3.97</v>
      </c>
      <c r="AA42">
        <v>0</v>
      </c>
      <c r="AB42">
        <v>2.54</v>
      </c>
      <c r="AC42">
        <v>0</v>
      </c>
      <c r="AD42">
        <v>0</v>
      </c>
      <c r="AE42">
        <v>0</v>
      </c>
      <c r="AF42">
        <v>1.75</v>
      </c>
      <c r="AG42">
        <v>0</v>
      </c>
      <c r="AH42">
        <v>0</v>
      </c>
      <c r="AI42">
        <v>1</v>
      </c>
      <c r="AJ42">
        <v>1.45</v>
      </c>
      <c r="AK42">
        <v>1</v>
      </c>
      <c r="AL42">
        <v>1</v>
      </c>
      <c r="AM42">
        <v>2</v>
      </c>
      <c r="AN42">
        <v>0</v>
      </c>
      <c r="AO42">
        <v>0</v>
      </c>
      <c r="AP42">
        <v>1</v>
      </c>
      <c r="AQ42">
        <v>1</v>
      </c>
      <c r="AR42">
        <v>0</v>
      </c>
      <c r="AS42" t="s">
        <v>3</v>
      </c>
      <c r="AT42">
        <v>3.97</v>
      </c>
      <c r="AU42" t="s">
        <v>3</v>
      </c>
      <c r="AV42">
        <v>1</v>
      </c>
      <c r="AW42">
        <v>2</v>
      </c>
      <c r="AX42">
        <v>65174880</v>
      </c>
      <c r="AY42">
        <v>1</v>
      </c>
      <c r="AZ42">
        <v>0</v>
      </c>
      <c r="BA42">
        <v>43</v>
      </c>
      <c r="BB42">
        <v>1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6.9475000000000007</v>
      </c>
      <c r="BL42">
        <v>0</v>
      </c>
      <c r="BM42">
        <v>0</v>
      </c>
      <c r="BN42">
        <v>0</v>
      </c>
      <c r="BO42">
        <v>0</v>
      </c>
      <c r="BP42">
        <v>1</v>
      </c>
      <c r="BQ42">
        <v>0</v>
      </c>
      <c r="BR42">
        <v>6.9475000000000007</v>
      </c>
      <c r="BS42">
        <v>0</v>
      </c>
      <c r="BT42">
        <v>0</v>
      </c>
      <c r="BU42">
        <v>0</v>
      </c>
      <c r="BV42">
        <v>0</v>
      </c>
      <c r="BW42">
        <v>1</v>
      </c>
      <c r="CV42">
        <v>0</v>
      </c>
      <c r="CW42">
        <f>ROUND(Y42*Source!I142*DO42,7)</f>
        <v>0</v>
      </c>
      <c r="CX42">
        <f>ROUND(Y42*Source!I142,7)</f>
        <v>104.80800000000001</v>
      </c>
      <c r="CY42">
        <f>AB42</f>
        <v>2.54</v>
      </c>
      <c r="CZ42">
        <f>AF42</f>
        <v>1.75</v>
      </c>
      <c r="DA42">
        <f>AJ42</f>
        <v>1.45</v>
      </c>
      <c r="DB42">
        <f t="shared" si="17"/>
        <v>6.95</v>
      </c>
      <c r="DC42">
        <f t="shared" si="18"/>
        <v>0</v>
      </c>
      <c r="DD42" t="s">
        <v>3</v>
      </c>
      <c r="DE42" t="s">
        <v>3</v>
      </c>
      <c r="DF42">
        <f t="shared" si="19"/>
        <v>0</v>
      </c>
      <c r="DG42">
        <f>ROUND(ROUND(AF42*AJ42,2)*CX42,2)</f>
        <v>266.20999999999998</v>
      </c>
      <c r="DH42">
        <f t="shared" si="20"/>
        <v>0</v>
      </c>
      <c r="DI42">
        <f t="shared" si="21"/>
        <v>0</v>
      </c>
      <c r="DJ42">
        <f>DG42+DH42</f>
        <v>266.20999999999998</v>
      </c>
      <c r="DK42">
        <v>0</v>
      </c>
      <c r="DL42" t="s">
        <v>3</v>
      </c>
      <c r="DM42">
        <v>0</v>
      </c>
      <c r="DN42" t="s">
        <v>3</v>
      </c>
      <c r="DO42">
        <v>0</v>
      </c>
    </row>
    <row r="43" spans="1:119" x14ac:dyDescent="0.2">
      <c r="A43">
        <f>ROW(Source!A142)</f>
        <v>142</v>
      </c>
      <c r="B43">
        <v>65174513</v>
      </c>
      <c r="C43">
        <v>65174864</v>
      </c>
      <c r="D43">
        <v>59055022</v>
      </c>
      <c r="E43">
        <v>1</v>
      </c>
      <c r="F43">
        <v>1</v>
      </c>
      <c r="G43">
        <v>1</v>
      </c>
      <c r="H43">
        <v>2</v>
      </c>
      <c r="I43" t="s">
        <v>325</v>
      </c>
      <c r="J43" t="s">
        <v>326</v>
      </c>
      <c r="K43" t="s">
        <v>327</v>
      </c>
      <c r="L43">
        <v>1368</v>
      </c>
      <c r="N43">
        <v>1011</v>
      </c>
      <c r="O43" t="s">
        <v>311</v>
      </c>
      <c r="P43" t="s">
        <v>311</v>
      </c>
      <c r="Q43">
        <v>1</v>
      </c>
      <c r="W43">
        <v>0</v>
      </c>
      <c r="X43">
        <v>-1009344388</v>
      </c>
      <c r="Y43">
        <f t="shared" si="16"/>
        <v>3.97</v>
      </c>
      <c r="AA43">
        <v>0</v>
      </c>
      <c r="AB43">
        <v>18.28</v>
      </c>
      <c r="AC43">
        <v>0</v>
      </c>
      <c r="AD43">
        <v>0</v>
      </c>
      <c r="AE43">
        <v>0</v>
      </c>
      <c r="AF43">
        <v>13.44</v>
      </c>
      <c r="AG43">
        <v>0</v>
      </c>
      <c r="AH43">
        <v>0</v>
      </c>
      <c r="AI43">
        <v>1</v>
      </c>
      <c r="AJ43">
        <v>1.36</v>
      </c>
      <c r="AK43">
        <v>1</v>
      </c>
      <c r="AL43">
        <v>1</v>
      </c>
      <c r="AM43">
        <v>2</v>
      </c>
      <c r="AN43">
        <v>0</v>
      </c>
      <c r="AO43">
        <v>0</v>
      </c>
      <c r="AP43">
        <v>1</v>
      </c>
      <c r="AQ43">
        <v>1</v>
      </c>
      <c r="AR43">
        <v>0</v>
      </c>
      <c r="AS43" t="s">
        <v>3</v>
      </c>
      <c r="AT43">
        <v>3.97</v>
      </c>
      <c r="AU43" t="s">
        <v>3</v>
      </c>
      <c r="AV43">
        <v>1</v>
      </c>
      <c r="AW43">
        <v>2</v>
      </c>
      <c r="AX43">
        <v>65174881</v>
      </c>
      <c r="AY43">
        <v>1</v>
      </c>
      <c r="AZ43">
        <v>0</v>
      </c>
      <c r="BA43">
        <v>44</v>
      </c>
      <c r="BB43">
        <v>1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53.3568</v>
      </c>
      <c r="BL43">
        <v>0</v>
      </c>
      <c r="BM43">
        <v>0</v>
      </c>
      <c r="BN43">
        <v>0</v>
      </c>
      <c r="BO43">
        <v>0</v>
      </c>
      <c r="BP43">
        <v>1</v>
      </c>
      <c r="BQ43">
        <v>0</v>
      </c>
      <c r="BR43">
        <v>53.3568</v>
      </c>
      <c r="BS43">
        <v>0</v>
      </c>
      <c r="BT43">
        <v>0</v>
      </c>
      <c r="BU43">
        <v>0</v>
      </c>
      <c r="BV43">
        <v>0</v>
      </c>
      <c r="BW43">
        <v>1</v>
      </c>
      <c r="CV43">
        <v>0</v>
      </c>
      <c r="CW43">
        <f>ROUND(Y43*Source!I142*DO43,7)</f>
        <v>0</v>
      </c>
      <c r="CX43">
        <f>ROUND(Y43*Source!I142,7)</f>
        <v>104.80800000000001</v>
      </c>
      <c r="CY43">
        <f>AB43</f>
        <v>18.28</v>
      </c>
      <c r="CZ43">
        <f>AF43</f>
        <v>13.44</v>
      </c>
      <c r="DA43">
        <f>AJ43</f>
        <v>1.36</v>
      </c>
      <c r="DB43">
        <f t="shared" si="17"/>
        <v>53.36</v>
      </c>
      <c r="DC43">
        <f t="shared" si="18"/>
        <v>0</v>
      </c>
      <c r="DD43" t="s">
        <v>3</v>
      </c>
      <c r="DE43" t="s">
        <v>3</v>
      </c>
      <c r="DF43">
        <f t="shared" si="19"/>
        <v>0</v>
      </c>
      <c r="DG43">
        <f>ROUND(ROUND(AF43*AJ43,2)*CX43,2)</f>
        <v>1915.89</v>
      </c>
      <c r="DH43">
        <f t="shared" si="20"/>
        <v>0</v>
      </c>
      <c r="DI43">
        <f t="shared" si="21"/>
        <v>0</v>
      </c>
      <c r="DJ43">
        <f>DG43+DH43</f>
        <v>1915.89</v>
      </c>
      <c r="DK43">
        <v>0</v>
      </c>
      <c r="DL43" t="s">
        <v>3</v>
      </c>
      <c r="DM43">
        <v>0</v>
      </c>
      <c r="DN43" t="s">
        <v>3</v>
      </c>
      <c r="DO43">
        <v>0</v>
      </c>
    </row>
    <row r="44" spans="1:119" x14ac:dyDescent="0.2">
      <c r="A44">
        <f>ROW(Source!A142)</f>
        <v>142</v>
      </c>
      <c r="B44">
        <v>65174513</v>
      </c>
      <c r="C44">
        <v>65174864</v>
      </c>
      <c r="D44">
        <v>59055768</v>
      </c>
      <c r="E44">
        <v>1</v>
      </c>
      <c r="F44">
        <v>1</v>
      </c>
      <c r="G44">
        <v>1</v>
      </c>
      <c r="H44">
        <v>2</v>
      </c>
      <c r="I44" t="s">
        <v>328</v>
      </c>
      <c r="J44" t="s">
        <v>329</v>
      </c>
      <c r="K44" t="s">
        <v>330</v>
      </c>
      <c r="L44">
        <v>1368</v>
      </c>
      <c r="N44">
        <v>1011</v>
      </c>
      <c r="O44" t="s">
        <v>311</v>
      </c>
      <c r="P44" t="s">
        <v>311</v>
      </c>
      <c r="Q44">
        <v>1</v>
      </c>
      <c r="W44">
        <v>0</v>
      </c>
      <c r="X44">
        <v>721652621</v>
      </c>
      <c r="Y44">
        <f t="shared" si="16"/>
        <v>1.32</v>
      </c>
      <c r="AA44">
        <v>0</v>
      </c>
      <c r="AB44">
        <v>578.28</v>
      </c>
      <c r="AC44">
        <v>490.55</v>
      </c>
      <c r="AD44">
        <v>0</v>
      </c>
      <c r="AE44">
        <v>0</v>
      </c>
      <c r="AF44">
        <v>477.92</v>
      </c>
      <c r="AG44">
        <v>490.55</v>
      </c>
      <c r="AH44">
        <v>0</v>
      </c>
      <c r="AI44">
        <v>1</v>
      </c>
      <c r="AJ44">
        <v>1.21</v>
      </c>
      <c r="AK44">
        <v>1</v>
      </c>
      <c r="AL44">
        <v>1</v>
      </c>
      <c r="AM44">
        <v>2</v>
      </c>
      <c r="AN44">
        <v>0</v>
      </c>
      <c r="AO44">
        <v>0</v>
      </c>
      <c r="AP44">
        <v>1</v>
      </c>
      <c r="AQ44">
        <v>1</v>
      </c>
      <c r="AR44">
        <v>0</v>
      </c>
      <c r="AS44" t="s">
        <v>3</v>
      </c>
      <c r="AT44">
        <v>1.32</v>
      </c>
      <c r="AU44" t="s">
        <v>3</v>
      </c>
      <c r="AV44">
        <v>1</v>
      </c>
      <c r="AW44">
        <v>2</v>
      </c>
      <c r="AX44">
        <v>65174882</v>
      </c>
      <c r="AY44">
        <v>1</v>
      </c>
      <c r="AZ44">
        <v>0</v>
      </c>
      <c r="BA44">
        <v>45</v>
      </c>
      <c r="BB44">
        <v>1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0</v>
      </c>
      <c r="BK44">
        <v>630.85440000000006</v>
      </c>
      <c r="BL44">
        <v>647.52600000000007</v>
      </c>
      <c r="BM44">
        <v>0</v>
      </c>
      <c r="BN44">
        <v>0</v>
      </c>
      <c r="BO44">
        <v>1.32</v>
      </c>
      <c r="BP44">
        <v>1</v>
      </c>
      <c r="BQ44">
        <v>0</v>
      </c>
      <c r="BR44">
        <v>630.85440000000006</v>
      </c>
      <c r="BS44">
        <v>647.52600000000007</v>
      </c>
      <c r="BT44">
        <v>0</v>
      </c>
      <c r="BU44">
        <v>0</v>
      </c>
      <c r="BV44">
        <v>1.32</v>
      </c>
      <c r="BW44">
        <v>1</v>
      </c>
      <c r="CV44">
        <v>0</v>
      </c>
      <c r="CW44">
        <f>ROUND(Y44*Source!I142*DO44,7)</f>
        <v>34.847999999999999</v>
      </c>
      <c r="CX44">
        <f>ROUND(Y44*Source!I142,7)</f>
        <v>34.847999999999999</v>
      </c>
      <c r="CY44">
        <f>AB44</f>
        <v>578.28</v>
      </c>
      <c r="CZ44">
        <f>AF44</f>
        <v>477.92</v>
      </c>
      <c r="DA44">
        <f>AJ44</f>
        <v>1.21</v>
      </c>
      <c r="DB44">
        <f t="shared" si="17"/>
        <v>630.85</v>
      </c>
      <c r="DC44">
        <f t="shared" si="18"/>
        <v>647.53</v>
      </c>
      <c r="DD44" t="s">
        <v>3</v>
      </c>
      <c r="DE44" t="s">
        <v>3</v>
      </c>
      <c r="DF44">
        <f t="shared" si="19"/>
        <v>0</v>
      </c>
      <c r="DG44">
        <f>ROUND(ROUND(AF44*AJ44,2)*CX44,2)</f>
        <v>20151.900000000001</v>
      </c>
      <c r="DH44">
        <f t="shared" si="20"/>
        <v>17094.689999999999</v>
      </c>
      <c r="DI44">
        <f t="shared" si="21"/>
        <v>0</v>
      </c>
      <c r="DJ44">
        <f>DG44+DH44</f>
        <v>37246.589999999997</v>
      </c>
      <c r="DK44">
        <v>0</v>
      </c>
      <c r="DL44" t="s">
        <v>312</v>
      </c>
      <c r="DM44">
        <v>4</v>
      </c>
      <c r="DN44" t="s">
        <v>296</v>
      </c>
      <c r="DO44">
        <v>1</v>
      </c>
    </row>
    <row r="45" spans="1:119" x14ac:dyDescent="0.2">
      <c r="A45">
        <f>ROW(Source!A142)</f>
        <v>142</v>
      </c>
      <c r="B45">
        <v>65174513</v>
      </c>
      <c r="C45">
        <v>65174864</v>
      </c>
      <c r="D45">
        <v>59008937</v>
      </c>
      <c r="E45">
        <v>1</v>
      </c>
      <c r="F45">
        <v>1</v>
      </c>
      <c r="G45">
        <v>1</v>
      </c>
      <c r="H45">
        <v>3</v>
      </c>
      <c r="I45" t="s">
        <v>331</v>
      </c>
      <c r="J45" t="s">
        <v>332</v>
      </c>
      <c r="K45" t="s">
        <v>333</v>
      </c>
      <c r="L45">
        <v>1302</v>
      </c>
      <c r="N45">
        <v>1003</v>
      </c>
      <c r="O45" t="s">
        <v>334</v>
      </c>
      <c r="P45" t="s">
        <v>334</v>
      </c>
      <c r="Q45">
        <v>10</v>
      </c>
      <c r="W45">
        <v>0</v>
      </c>
      <c r="X45">
        <v>153135899</v>
      </c>
      <c r="Y45">
        <f t="shared" si="16"/>
        <v>9.6000000000000002E-2</v>
      </c>
      <c r="AA45">
        <v>57.7</v>
      </c>
      <c r="AB45">
        <v>0</v>
      </c>
      <c r="AC45">
        <v>0</v>
      </c>
      <c r="AD45">
        <v>0</v>
      </c>
      <c r="AE45">
        <v>37.71</v>
      </c>
      <c r="AF45">
        <v>0</v>
      </c>
      <c r="AG45">
        <v>0</v>
      </c>
      <c r="AH45">
        <v>0</v>
      </c>
      <c r="AI45">
        <v>1.53</v>
      </c>
      <c r="AJ45">
        <v>1</v>
      </c>
      <c r="AK45">
        <v>1</v>
      </c>
      <c r="AL45">
        <v>1</v>
      </c>
      <c r="AM45">
        <v>2</v>
      </c>
      <c r="AN45">
        <v>0</v>
      </c>
      <c r="AO45">
        <v>0</v>
      </c>
      <c r="AP45">
        <v>1</v>
      </c>
      <c r="AQ45">
        <v>1</v>
      </c>
      <c r="AR45">
        <v>0</v>
      </c>
      <c r="AS45" t="s">
        <v>3</v>
      </c>
      <c r="AT45">
        <v>9.6000000000000002E-2</v>
      </c>
      <c r="AU45" t="s">
        <v>3</v>
      </c>
      <c r="AV45">
        <v>0</v>
      </c>
      <c r="AW45">
        <v>2</v>
      </c>
      <c r="AX45">
        <v>65174883</v>
      </c>
      <c r="AY45">
        <v>1</v>
      </c>
      <c r="AZ45">
        <v>0</v>
      </c>
      <c r="BA45">
        <v>46</v>
      </c>
      <c r="BB45">
        <v>1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3.6201600000000003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1</v>
      </c>
      <c r="BQ45">
        <v>3.6201600000000003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1</v>
      </c>
      <c r="CV45">
        <v>0</v>
      </c>
      <c r="CW45">
        <v>0</v>
      </c>
      <c r="CX45">
        <f>ROUND(Y45*Source!I142,7)</f>
        <v>2.5344000000000002</v>
      </c>
      <c r="CY45">
        <f t="shared" ref="CY45:CY50" si="22">AA45</f>
        <v>57.7</v>
      </c>
      <c r="CZ45">
        <f t="shared" ref="CZ45:CZ50" si="23">AE45</f>
        <v>37.71</v>
      </c>
      <c r="DA45">
        <f t="shared" ref="DA45:DA50" si="24">AI45</f>
        <v>1.53</v>
      </c>
      <c r="DB45">
        <f t="shared" si="17"/>
        <v>3.62</v>
      </c>
      <c r="DC45">
        <f t="shared" si="18"/>
        <v>0</v>
      </c>
      <c r="DD45" t="s">
        <v>3</v>
      </c>
      <c r="DE45" t="s">
        <v>3</v>
      </c>
      <c r="DF45">
        <f>ROUND(ROUND(AE45*AI45,2)*CX45,2)</f>
        <v>146.22999999999999</v>
      </c>
      <c r="DG45">
        <f t="shared" ref="DG45:DG53" si="25">ROUND(ROUND(AF45,2)*CX45,2)</f>
        <v>0</v>
      </c>
      <c r="DH45">
        <f t="shared" si="20"/>
        <v>0</v>
      </c>
      <c r="DI45">
        <f t="shared" si="21"/>
        <v>0</v>
      </c>
      <c r="DJ45">
        <f t="shared" ref="DJ45:DJ50" si="26">DF45</f>
        <v>146.22999999999999</v>
      </c>
      <c r="DK45">
        <v>0</v>
      </c>
      <c r="DL45" t="s">
        <v>3</v>
      </c>
      <c r="DM45">
        <v>0</v>
      </c>
      <c r="DN45" t="s">
        <v>3</v>
      </c>
      <c r="DO45">
        <v>0</v>
      </c>
    </row>
    <row r="46" spans="1:119" x14ac:dyDescent="0.2">
      <c r="A46">
        <f>ROW(Source!A142)</f>
        <v>142</v>
      </c>
      <c r="B46">
        <v>65174513</v>
      </c>
      <c r="C46">
        <v>65174864</v>
      </c>
      <c r="D46">
        <v>59016888</v>
      </c>
      <c r="E46">
        <v>1</v>
      </c>
      <c r="F46">
        <v>1</v>
      </c>
      <c r="G46">
        <v>1</v>
      </c>
      <c r="H46">
        <v>3</v>
      </c>
      <c r="I46" t="s">
        <v>335</v>
      </c>
      <c r="J46" t="s">
        <v>336</v>
      </c>
      <c r="K46" t="s">
        <v>337</v>
      </c>
      <c r="L46">
        <v>1348</v>
      </c>
      <c r="N46">
        <v>1009</v>
      </c>
      <c r="O46" t="s">
        <v>338</v>
      </c>
      <c r="P46" t="s">
        <v>338</v>
      </c>
      <c r="Q46">
        <v>1000</v>
      </c>
      <c r="W46">
        <v>0</v>
      </c>
      <c r="X46">
        <v>-393839491</v>
      </c>
      <c r="Y46">
        <f t="shared" si="16"/>
        <v>1E-3</v>
      </c>
      <c r="AA46">
        <v>61873.2</v>
      </c>
      <c r="AB46">
        <v>0</v>
      </c>
      <c r="AC46">
        <v>0</v>
      </c>
      <c r="AD46">
        <v>0</v>
      </c>
      <c r="AE46">
        <v>70310.45</v>
      </c>
      <c r="AF46">
        <v>0</v>
      </c>
      <c r="AG46">
        <v>0</v>
      </c>
      <c r="AH46">
        <v>0</v>
      </c>
      <c r="AI46">
        <v>0.88</v>
      </c>
      <c r="AJ46">
        <v>1</v>
      </c>
      <c r="AK46">
        <v>1</v>
      </c>
      <c r="AL46">
        <v>1</v>
      </c>
      <c r="AM46">
        <v>2</v>
      </c>
      <c r="AN46">
        <v>0</v>
      </c>
      <c r="AO46">
        <v>0</v>
      </c>
      <c r="AP46">
        <v>1</v>
      </c>
      <c r="AQ46">
        <v>1</v>
      </c>
      <c r="AR46">
        <v>0</v>
      </c>
      <c r="AS46" t="s">
        <v>3</v>
      </c>
      <c r="AT46">
        <v>1E-3</v>
      </c>
      <c r="AU46" t="s">
        <v>3</v>
      </c>
      <c r="AV46">
        <v>0</v>
      </c>
      <c r="AW46">
        <v>2</v>
      </c>
      <c r="AX46">
        <v>65174884</v>
      </c>
      <c r="AY46">
        <v>1</v>
      </c>
      <c r="AZ46">
        <v>0</v>
      </c>
      <c r="BA46">
        <v>47</v>
      </c>
      <c r="BB46">
        <v>1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70.310450000000003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1</v>
      </c>
      <c r="BQ46">
        <v>70.310450000000003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1</v>
      </c>
      <c r="CV46">
        <v>0</v>
      </c>
      <c r="CW46">
        <v>0</v>
      </c>
      <c r="CX46">
        <f>ROUND(Y46*Source!I142,7)</f>
        <v>2.64E-2</v>
      </c>
      <c r="CY46">
        <f t="shared" si="22"/>
        <v>61873.2</v>
      </c>
      <c r="CZ46">
        <f t="shared" si="23"/>
        <v>70310.45</v>
      </c>
      <c r="DA46">
        <f t="shared" si="24"/>
        <v>0.88</v>
      </c>
      <c r="DB46">
        <f t="shared" si="17"/>
        <v>70.31</v>
      </c>
      <c r="DC46">
        <f t="shared" si="18"/>
        <v>0</v>
      </c>
      <c r="DD46" t="s">
        <v>3</v>
      </c>
      <c r="DE46" t="s">
        <v>3</v>
      </c>
      <c r="DF46">
        <f>ROUND(ROUND(AE46*AI46,2)*CX46,2)</f>
        <v>1633.45</v>
      </c>
      <c r="DG46">
        <f t="shared" si="25"/>
        <v>0</v>
      </c>
      <c r="DH46">
        <f t="shared" si="20"/>
        <v>0</v>
      </c>
      <c r="DI46">
        <f t="shared" si="21"/>
        <v>0</v>
      </c>
      <c r="DJ46">
        <f t="shared" si="26"/>
        <v>1633.45</v>
      </c>
      <c r="DK46">
        <v>0</v>
      </c>
      <c r="DL46" t="s">
        <v>3</v>
      </c>
      <c r="DM46">
        <v>0</v>
      </c>
      <c r="DN46" t="s">
        <v>3</v>
      </c>
      <c r="DO46">
        <v>0</v>
      </c>
    </row>
    <row r="47" spans="1:119" x14ac:dyDescent="0.2">
      <c r="A47">
        <f>ROW(Source!A142)</f>
        <v>142</v>
      </c>
      <c r="B47">
        <v>65174513</v>
      </c>
      <c r="C47">
        <v>65174864</v>
      </c>
      <c r="D47">
        <v>59017068</v>
      </c>
      <c r="E47">
        <v>1</v>
      </c>
      <c r="F47">
        <v>1</v>
      </c>
      <c r="G47">
        <v>1</v>
      </c>
      <c r="H47">
        <v>3</v>
      </c>
      <c r="I47" t="s">
        <v>339</v>
      </c>
      <c r="J47" t="s">
        <v>340</v>
      </c>
      <c r="K47" t="s">
        <v>341</v>
      </c>
      <c r="L47">
        <v>1348</v>
      </c>
      <c r="N47">
        <v>1009</v>
      </c>
      <c r="O47" t="s">
        <v>338</v>
      </c>
      <c r="P47" t="s">
        <v>338</v>
      </c>
      <c r="Q47">
        <v>1000</v>
      </c>
      <c r="W47">
        <v>0</v>
      </c>
      <c r="X47">
        <v>-522469546</v>
      </c>
      <c r="Y47">
        <f t="shared" si="16"/>
        <v>0.01</v>
      </c>
      <c r="AA47">
        <v>55303.81</v>
      </c>
      <c r="AB47">
        <v>0</v>
      </c>
      <c r="AC47">
        <v>0</v>
      </c>
      <c r="AD47">
        <v>0</v>
      </c>
      <c r="AE47">
        <v>55303.81</v>
      </c>
      <c r="AF47">
        <v>0</v>
      </c>
      <c r="AG47">
        <v>0</v>
      </c>
      <c r="AH47">
        <v>0</v>
      </c>
      <c r="AI47">
        <v>1</v>
      </c>
      <c r="AJ47">
        <v>1</v>
      </c>
      <c r="AK47">
        <v>1</v>
      </c>
      <c r="AL47">
        <v>1</v>
      </c>
      <c r="AM47">
        <v>-2</v>
      </c>
      <c r="AN47">
        <v>0</v>
      </c>
      <c r="AO47">
        <v>0</v>
      </c>
      <c r="AP47">
        <v>1</v>
      </c>
      <c r="AQ47">
        <v>1</v>
      </c>
      <c r="AR47">
        <v>0</v>
      </c>
      <c r="AS47" t="s">
        <v>3</v>
      </c>
      <c r="AT47">
        <v>0.01</v>
      </c>
      <c r="AU47" t="s">
        <v>3</v>
      </c>
      <c r="AV47">
        <v>0</v>
      </c>
      <c r="AW47">
        <v>2</v>
      </c>
      <c r="AX47">
        <v>65174885</v>
      </c>
      <c r="AY47">
        <v>1</v>
      </c>
      <c r="AZ47">
        <v>0</v>
      </c>
      <c r="BA47">
        <v>48</v>
      </c>
      <c r="BB47">
        <v>1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553.03809999999999</v>
      </c>
      <c r="BK47">
        <v>0</v>
      </c>
      <c r="BL47">
        <v>0</v>
      </c>
      <c r="BM47">
        <v>0</v>
      </c>
      <c r="BN47">
        <v>0</v>
      </c>
      <c r="BO47">
        <v>0</v>
      </c>
      <c r="BP47">
        <v>1</v>
      </c>
      <c r="BQ47">
        <v>553.03809999999999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1</v>
      </c>
      <c r="CV47">
        <v>0</v>
      </c>
      <c r="CW47">
        <v>0</v>
      </c>
      <c r="CX47">
        <f>ROUND(Y47*Source!I142,7)</f>
        <v>0.26400000000000001</v>
      </c>
      <c r="CY47">
        <f t="shared" si="22"/>
        <v>55303.81</v>
      </c>
      <c r="CZ47">
        <f t="shared" si="23"/>
        <v>55303.81</v>
      </c>
      <c r="DA47">
        <f t="shared" si="24"/>
        <v>1</v>
      </c>
      <c r="DB47">
        <f t="shared" si="17"/>
        <v>553.04</v>
      </c>
      <c r="DC47">
        <f t="shared" si="18"/>
        <v>0</v>
      </c>
      <c r="DD47" t="s">
        <v>3</v>
      </c>
      <c r="DE47" t="s">
        <v>3</v>
      </c>
      <c r="DF47">
        <f>ROUND(ROUND(AE47,2)*CX47,2)</f>
        <v>14600.21</v>
      </c>
      <c r="DG47">
        <f t="shared" si="25"/>
        <v>0</v>
      </c>
      <c r="DH47">
        <f t="shared" si="20"/>
        <v>0</v>
      </c>
      <c r="DI47">
        <f t="shared" si="21"/>
        <v>0</v>
      </c>
      <c r="DJ47">
        <f t="shared" si="26"/>
        <v>14600.21</v>
      </c>
      <c r="DK47">
        <v>1</v>
      </c>
      <c r="DL47" t="s">
        <v>3</v>
      </c>
      <c r="DM47">
        <v>0</v>
      </c>
      <c r="DN47" t="s">
        <v>3</v>
      </c>
      <c r="DO47">
        <v>0</v>
      </c>
    </row>
    <row r="48" spans="1:119" x14ac:dyDescent="0.2">
      <c r="A48">
        <f>ROW(Source!A142)</f>
        <v>142</v>
      </c>
      <c r="B48">
        <v>65174513</v>
      </c>
      <c r="C48">
        <v>65174864</v>
      </c>
      <c r="D48">
        <v>59026221</v>
      </c>
      <c r="E48">
        <v>1</v>
      </c>
      <c r="F48">
        <v>1</v>
      </c>
      <c r="G48">
        <v>1</v>
      </c>
      <c r="H48">
        <v>3</v>
      </c>
      <c r="I48" t="s">
        <v>342</v>
      </c>
      <c r="J48" t="s">
        <v>343</v>
      </c>
      <c r="K48" t="s">
        <v>344</v>
      </c>
      <c r="L48">
        <v>1346</v>
      </c>
      <c r="N48">
        <v>1009</v>
      </c>
      <c r="O48" t="s">
        <v>117</v>
      </c>
      <c r="P48" t="s">
        <v>117</v>
      </c>
      <c r="Q48">
        <v>1</v>
      </c>
      <c r="W48">
        <v>0</v>
      </c>
      <c r="X48">
        <v>628117784</v>
      </c>
      <c r="Y48">
        <f t="shared" si="16"/>
        <v>0.25</v>
      </c>
      <c r="AA48">
        <v>104.64</v>
      </c>
      <c r="AB48">
        <v>0</v>
      </c>
      <c r="AC48">
        <v>0</v>
      </c>
      <c r="AD48">
        <v>0</v>
      </c>
      <c r="AE48">
        <v>79.88</v>
      </c>
      <c r="AF48">
        <v>0</v>
      </c>
      <c r="AG48">
        <v>0</v>
      </c>
      <c r="AH48">
        <v>0</v>
      </c>
      <c r="AI48">
        <v>1.31</v>
      </c>
      <c r="AJ48">
        <v>1</v>
      </c>
      <c r="AK48">
        <v>1</v>
      </c>
      <c r="AL48">
        <v>1</v>
      </c>
      <c r="AM48">
        <v>2</v>
      </c>
      <c r="AN48">
        <v>0</v>
      </c>
      <c r="AO48">
        <v>0</v>
      </c>
      <c r="AP48">
        <v>1</v>
      </c>
      <c r="AQ48">
        <v>1</v>
      </c>
      <c r="AR48">
        <v>0</v>
      </c>
      <c r="AS48" t="s">
        <v>3</v>
      </c>
      <c r="AT48">
        <v>0.25</v>
      </c>
      <c r="AU48" t="s">
        <v>3</v>
      </c>
      <c r="AV48">
        <v>0</v>
      </c>
      <c r="AW48">
        <v>2</v>
      </c>
      <c r="AX48">
        <v>65174886</v>
      </c>
      <c r="AY48">
        <v>1</v>
      </c>
      <c r="AZ48">
        <v>0</v>
      </c>
      <c r="BA48">
        <v>49</v>
      </c>
      <c r="BB48">
        <v>1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19.97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1</v>
      </c>
      <c r="BQ48">
        <v>19.97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1</v>
      </c>
      <c r="CV48">
        <v>0</v>
      </c>
      <c r="CW48">
        <v>0</v>
      </c>
      <c r="CX48">
        <f>ROUND(Y48*Source!I142,7)</f>
        <v>6.6</v>
      </c>
      <c r="CY48">
        <f t="shared" si="22"/>
        <v>104.64</v>
      </c>
      <c r="CZ48">
        <f t="shared" si="23"/>
        <v>79.88</v>
      </c>
      <c r="DA48">
        <f t="shared" si="24"/>
        <v>1.31</v>
      </c>
      <c r="DB48">
        <f t="shared" si="17"/>
        <v>19.97</v>
      </c>
      <c r="DC48">
        <f t="shared" si="18"/>
        <v>0</v>
      </c>
      <c r="DD48" t="s">
        <v>3</v>
      </c>
      <c r="DE48" t="s">
        <v>3</v>
      </c>
      <c r="DF48">
        <f>ROUND(ROUND(AE48*AI48,2)*CX48,2)</f>
        <v>690.62</v>
      </c>
      <c r="DG48">
        <f t="shared" si="25"/>
        <v>0</v>
      </c>
      <c r="DH48">
        <f t="shared" si="20"/>
        <v>0</v>
      </c>
      <c r="DI48">
        <f t="shared" si="21"/>
        <v>0</v>
      </c>
      <c r="DJ48">
        <f t="shared" si="26"/>
        <v>690.62</v>
      </c>
      <c r="DK48">
        <v>0</v>
      </c>
      <c r="DL48" t="s">
        <v>3</v>
      </c>
      <c r="DM48">
        <v>0</v>
      </c>
      <c r="DN48" t="s">
        <v>3</v>
      </c>
      <c r="DO48">
        <v>0</v>
      </c>
    </row>
    <row r="49" spans="1:119" x14ac:dyDescent="0.2">
      <c r="A49">
        <f>ROW(Source!A142)</f>
        <v>142</v>
      </c>
      <c r="B49">
        <v>65174513</v>
      </c>
      <c r="C49">
        <v>65174864</v>
      </c>
      <c r="D49">
        <v>59026247</v>
      </c>
      <c r="E49">
        <v>1</v>
      </c>
      <c r="F49">
        <v>1</v>
      </c>
      <c r="G49">
        <v>1</v>
      </c>
      <c r="H49">
        <v>3</v>
      </c>
      <c r="I49" t="s">
        <v>345</v>
      </c>
      <c r="J49" t="s">
        <v>346</v>
      </c>
      <c r="K49" t="s">
        <v>347</v>
      </c>
      <c r="L49">
        <v>1348</v>
      </c>
      <c r="N49">
        <v>1009</v>
      </c>
      <c r="O49" t="s">
        <v>338</v>
      </c>
      <c r="P49" t="s">
        <v>338</v>
      </c>
      <c r="Q49">
        <v>1000</v>
      </c>
      <c r="W49">
        <v>0</v>
      </c>
      <c r="X49">
        <v>-1568086514</v>
      </c>
      <c r="Y49">
        <f t="shared" si="16"/>
        <v>6.0000000000000002E-5</v>
      </c>
      <c r="AA49">
        <v>100891.73</v>
      </c>
      <c r="AB49">
        <v>0</v>
      </c>
      <c r="AC49">
        <v>0</v>
      </c>
      <c r="AD49">
        <v>0</v>
      </c>
      <c r="AE49">
        <v>82698.14</v>
      </c>
      <c r="AF49">
        <v>0</v>
      </c>
      <c r="AG49">
        <v>0</v>
      </c>
      <c r="AH49">
        <v>0</v>
      </c>
      <c r="AI49">
        <v>1.22</v>
      </c>
      <c r="AJ49">
        <v>1</v>
      </c>
      <c r="AK49">
        <v>1</v>
      </c>
      <c r="AL49">
        <v>1</v>
      </c>
      <c r="AM49">
        <v>2</v>
      </c>
      <c r="AN49">
        <v>0</v>
      </c>
      <c r="AO49">
        <v>0</v>
      </c>
      <c r="AP49">
        <v>1</v>
      </c>
      <c r="AQ49">
        <v>1</v>
      </c>
      <c r="AR49">
        <v>0</v>
      </c>
      <c r="AS49" t="s">
        <v>3</v>
      </c>
      <c r="AT49">
        <v>6.0000000000000002E-5</v>
      </c>
      <c r="AU49" t="s">
        <v>3</v>
      </c>
      <c r="AV49">
        <v>0</v>
      </c>
      <c r="AW49">
        <v>2</v>
      </c>
      <c r="AX49">
        <v>65174887</v>
      </c>
      <c r="AY49">
        <v>1</v>
      </c>
      <c r="AZ49">
        <v>0</v>
      </c>
      <c r="BA49">
        <v>50</v>
      </c>
      <c r="BB49">
        <v>1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4.9618884000000003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1</v>
      </c>
      <c r="BQ49">
        <v>4.9618884000000003</v>
      </c>
      <c r="BR49">
        <v>0</v>
      </c>
      <c r="BS49">
        <v>0</v>
      </c>
      <c r="BT49">
        <v>0</v>
      </c>
      <c r="BU49">
        <v>0</v>
      </c>
      <c r="BV49">
        <v>0</v>
      </c>
      <c r="BW49">
        <v>1</v>
      </c>
      <c r="CV49">
        <v>0</v>
      </c>
      <c r="CW49">
        <v>0</v>
      </c>
      <c r="CX49">
        <f>ROUND(Y49*Source!I142,7)</f>
        <v>1.5839999999999999E-3</v>
      </c>
      <c r="CY49">
        <f t="shared" si="22"/>
        <v>100891.73</v>
      </c>
      <c r="CZ49">
        <f t="shared" si="23"/>
        <v>82698.14</v>
      </c>
      <c r="DA49">
        <f t="shared" si="24"/>
        <v>1.22</v>
      </c>
      <c r="DB49">
        <f t="shared" si="17"/>
        <v>4.96</v>
      </c>
      <c r="DC49">
        <f t="shared" si="18"/>
        <v>0</v>
      </c>
      <c r="DD49" t="s">
        <v>3</v>
      </c>
      <c r="DE49" t="s">
        <v>3</v>
      </c>
      <c r="DF49">
        <f>ROUND(ROUND(AE49*AI49,2)*CX49,2)</f>
        <v>159.81</v>
      </c>
      <c r="DG49">
        <f t="shared" si="25"/>
        <v>0</v>
      </c>
      <c r="DH49">
        <f t="shared" si="20"/>
        <v>0</v>
      </c>
      <c r="DI49">
        <f t="shared" si="21"/>
        <v>0</v>
      </c>
      <c r="DJ49">
        <f t="shared" si="26"/>
        <v>159.81</v>
      </c>
      <c r="DK49">
        <v>0</v>
      </c>
      <c r="DL49" t="s">
        <v>3</v>
      </c>
      <c r="DM49">
        <v>0</v>
      </c>
      <c r="DN49" t="s">
        <v>3</v>
      </c>
      <c r="DO49">
        <v>0</v>
      </c>
    </row>
    <row r="50" spans="1:119" x14ac:dyDescent="0.2">
      <c r="A50">
        <f>ROW(Source!A142)</f>
        <v>142</v>
      </c>
      <c r="B50">
        <v>65174513</v>
      </c>
      <c r="C50">
        <v>65174864</v>
      </c>
      <c r="D50">
        <v>58938947</v>
      </c>
      <c r="E50">
        <v>109</v>
      </c>
      <c r="F50">
        <v>1</v>
      </c>
      <c r="G50">
        <v>1</v>
      </c>
      <c r="H50">
        <v>3</v>
      </c>
      <c r="I50" t="s">
        <v>348</v>
      </c>
      <c r="J50" t="s">
        <v>3</v>
      </c>
      <c r="K50" t="s">
        <v>349</v>
      </c>
      <c r="L50">
        <v>3277935</v>
      </c>
      <c r="N50">
        <v>1013</v>
      </c>
      <c r="O50" t="s">
        <v>350</v>
      </c>
      <c r="P50" t="s">
        <v>350</v>
      </c>
      <c r="Q50">
        <v>1</v>
      </c>
      <c r="W50">
        <v>0</v>
      </c>
      <c r="X50">
        <v>274903907</v>
      </c>
      <c r="Y50">
        <f t="shared" si="16"/>
        <v>2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1</v>
      </c>
      <c r="AJ50">
        <v>1</v>
      </c>
      <c r="AK50">
        <v>1</v>
      </c>
      <c r="AL50">
        <v>1</v>
      </c>
      <c r="AM50">
        <v>-2</v>
      </c>
      <c r="AN50">
        <v>0</v>
      </c>
      <c r="AO50">
        <v>0</v>
      </c>
      <c r="AP50">
        <v>0</v>
      </c>
      <c r="AQ50">
        <v>1</v>
      </c>
      <c r="AR50">
        <v>0</v>
      </c>
      <c r="AS50" t="s">
        <v>3</v>
      </c>
      <c r="AT50">
        <v>2</v>
      </c>
      <c r="AU50" t="s">
        <v>3</v>
      </c>
      <c r="AV50">
        <v>0</v>
      </c>
      <c r="AW50">
        <v>2</v>
      </c>
      <c r="AX50">
        <v>65174888</v>
      </c>
      <c r="AY50">
        <v>1</v>
      </c>
      <c r="AZ50">
        <v>0</v>
      </c>
      <c r="BA50">
        <v>51</v>
      </c>
      <c r="BB50">
        <v>1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0</v>
      </c>
      <c r="BL50">
        <v>0</v>
      </c>
      <c r="BM50">
        <v>0</v>
      </c>
      <c r="BN50">
        <v>0</v>
      </c>
      <c r="BO50">
        <v>0</v>
      </c>
      <c r="BP50">
        <v>0</v>
      </c>
      <c r="BQ50">
        <v>0</v>
      </c>
      <c r="BR50">
        <v>0</v>
      </c>
      <c r="BS50">
        <v>0</v>
      </c>
      <c r="BT50">
        <v>0</v>
      </c>
      <c r="BU50">
        <v>0</v>
      </c>
      <c r="BV50">
        <v>0</v>
      </c>
      <c r="BW50">
        <v>0</v>
      </c>
      <c r="CV50">
        <v>0</v>
      </c>
      <c r="CW50">
        <v>0</v>
      </c>
      <c r="CX50">
        <f>ROUND(Y50*Source!I142,7)</f>
        <v>52.8</v>
      </c>
      <c r="CY50">
        <f t="shared" si="22"/>
        <v>0</v>
      </c>
      <c r="CZ50">
        <f t="shared" si="23"/>
        <v>0</v>
      </c>
      <c r="DA50">
        <f t="shared" si="24"/>
        <v>1</v>
      </c>
      <c r="DB50">
        <f t="shared" si="17"/>
        <v>0</v>
      </c>
      <c r="DC50">
        <f t="shared" si="18"/>
        <v>0</v>
      </c>
      <c r="DD50" t="s">
        <v>3</v>
      </c>
      <c r="DE50" t="s">
        <v>3</v>
      </c>
      <c r="DF50">
        <f>ROUND(ROUND(AE50,2)*CX50,2)</f>
        <v>0</v>
      </c>
      <c r="DG50">
        <f t="shared" si="25"/>
        <v>0</v>
      </c>
      <c r="DH50">
        <f t="shared" si="20"/>
        <v>0</v>
      </c>
      <c r="DI50">
        <f t="shared" si="21"/>
        <v>0</v>
      </c>
      <c r="DJ50">
        <f t="shared" si="26"/>
        <v>0</v>
      </c>
      <c r="DK50">
        <v>0</v>
      </c>
      <c r="DL50" t="s">
        <v>3</v>
      </c>
      <c r="DM50">
        <v>0</v>
      </c>
      <c r="DN50" t="s">
        <v>3</v>
      </c>
      <c r="DO50">
        <v>0</v>
      </c>
    </row>
    <row r="51" spans="1:119" x14ac:dyDescent="0.2">
      <c r="A51">
        <f>ROW(Source!A143)</f>
        <v>143</v>
      </c>
      <c r="B51">
        <v>65174513</v>
      </c>
      <c r="C51">
        <v>65174889</v>
      </c>
      <c r="D51">
        <v>37064878</v>
      </c>
      <c r="E51">
        <v>112</v>
      </c>
      <c r="F51">
        <v>1</v>
      </c>
      <c r="G51">
        <v>1</v>
      </c>
      <c r="H51">
        <v>1</v>
      </c>
      <c r="I51" t="s">
        <v>316</v>
      </c>
      <c r="J51" t="s">
        <v>3</v>
      </c>
      <c r="K51" t="s">
        <v>351</v>
      </c>
      <c r="L51">
        <v>1191</v>
      </c>
      <c r="N51">
        <v>1013</v>
      </c>
      <c r="O51" t="s">
        <v>296</v>
      </c>
      <c r="P51" t="s">
        <v>296</v>
      </c>
      <c r="Q51">
        <v>1</v>
      </c>
      <c r="W51">
        <v>0</v>
      </c>
      <c r="X51">
        <v>44848675</v>
      </c>
      <c r="Y51">
        <f t="shared" si="16"/>
        <v>11.2</v>
      </c>
      <c r="AA51">
        <v>0</v>
      </c>
      <c r="AB51">
        <v>0</v>
      </c>
      <c r="AC51">
        <v>0</v>
      </c>
      <c r="AD51">
        <v>479.56</v>
      </c>
      <c r="AE51">
        <v>0</v>
      </c>
      <c r="AF51">
        <v>0</v>
      </c>
      <c r="AG51">
        <v>0</v>
      </c>
      <c r="AH51">
        <v>479.56</v>
      </c>
      <c r="AI51">
        <v>1</v>
      </c>
      <c r="AJ51">
        <v>1</v>
      </c>
      <c r="AK51">
        <v>1</v>
      </c>
      <c r="AL51">
        <v>1</v>
      </c>
      <c r="AM51">
        <v>-2</v>
      </c>
      <c r="AN51">
        <v>0</v>
      </c>
      <c r="AO51">
        <v>0</v>
      </c>
      <c r="AP51">
        <v>1</v>
      </c>
      <c r="AQ51">
        <v>1</v>
      </c>
      <c r="AR51">
        <v>0</v>
      </c>
      <c r="AS51" t="s">
        <v>3</v>
      </c>
      <c r="AT51">
        <v>11.2</v>
      </c>
      <c r="AU51" t="s">
        <v>3</v>
      </c>
      <c r="AV51">
        <v>1</v>
      </c>
      <c r="AW51">
        <v>2</v>
      </c>
      <c r="AX51">
        <v>65174899</v>
      </c>
      <c r="AY51">
        <v>1</v>
      </c>
      <c r="AZ51">
        <v>0</v>
      </c>
      <c r="BA51">
        <v>52</v>
      </c>
      <c r="BB51">
        <v>1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0</v>
      </c>
      <c r="BL51">
        <v>0</v>
      </c>
      <c r="BM51">
        <v>5371.0720000000001</v>
      </c>
      <c r="BN51">
        <v>11.2</v>
      </c>
      <c r="BO51">
        <v>0</v>
      </c>
      <c r="BP51">
        <v>1</v>
      </c>
      <c r="BQ51">
        <v>0</v>
      </c>
      <c r="BR51">
        <v>0</v>
      </c>
      <c r="BS51">
        <v>0</v>
      </c>
      <c r="BT51">
        <v>5371.0720000000001</v>
      </c>
      <c r="BU51">
        <v>11.2</v>
      </c>
      <c r="BV51">
        <v>0</v>
      </c>
      <c r="BW51">
        <v>1</v>
      </c>
      <c r="CU51">
        <f>ROUND(AT51*Source!I143*AH51*AL51,2)</f>
        <v>32226.43</v>
      </c>
      <c r="CV51">
        <f>ROUND(Y51*Source!I143,7)</f>
        <v>67.2</v>
      </c>
      <c r="CW51">
        <v>0</v>
      </c>
      <c r="CX51">
        <f>ROUND(Y51*Source!I143,7)</f>
        <v>67.2</v>
      </c>
      <c r="CY51">
        <f>AD51</f>
        <v>479.56</v>
      </c>
      <c r="CZ51">
        <f>AH51</f>
        <v>479.56</v>
      </c>
      <c r="DA51">
        <f>AL51</f>
        <v>1</v>
      </c>
      <c r="DB51">
        <f t="shared" si="17"/>
        <v>5371.07</v>
      </c>
      <c r="DC51">
        <f t="shared" si="18"/>
        <v>0</v>
      </c>
      <c r="DD51" t="s">
        <v>3</v>
      </c>
      <c r="DE51" t="s">
        <v>3</v>
      </c>
      <c r="DF51">
        <f>ROUND(ROUND(AE51,2)*CX51,2)</f>
        <v>0</v>
      </c>
      <c r="DG51">
        <f t="shared" si="25"/>
        <v>0</v>
      </c>
      <c r="DH51">
        <f t="shared" si="20"/>
        <v>0</v>
      </c>
      <c r="DI51">
        <f t="shared" si="21"/>
        <v>32226.43</v>
      </c>
      <c r="DJ51">
        <f>DI51</f>
        <v>32226.43</v>
      </c>
      <c r="DK51">
        <v>1</v>
      </c>
      <c r="DL51" t="s">
        <v>3</v>
      </c>
      <c r="DM51">
        <v>0</v>
      </c>
      <c r="DN51" t="s">
        <v>3</v>
      </c>
      <c r="DO51">
        <v>0</v>
      </c>
    </row>
    <row r="52" spans="1:119" x14ac:dyDescent="0.2">
      <c r="A52">
        <f>ROW(Source!A143)</f>
        <v>143</v>
      </c>
      <c r="B52">
        <v>65174513</v>
      </c>
      <c r="C52">
        <v>65174889</v>
      </c>
      <c r="D52">
        <v>37064876</v>
      </c>
      <c r="E52">
        <v>112</v>
      </c>
      <c r="F52">
        <v>1</v>
      </c>
      <c r="G52">
        <v>1</v>
      </c>
      <c r="H52">
        <v>1</v>
      </c>
      <c r="I52" t="s">
        <v>306</v>
      </c>
      <c r="J52" t="s">
        <v>3</v>
      </c>
      <c r="K52" t="s">
        <v>307</v>
      </c>
      <c r="L52">
        <v>1191</v>
      </c>
      <c r="N52">
        <v>1013</v>
      </c>
      <c r="O52" t="s">
        <v>296</v>
      </c>
      <c r="P52" t="s">
        <v>296</v>
      </c>
      <c r="Q52">
        <v>1</v>
      </c>
      <c r="W52">
        <v>0</v>
      </c>
      <c r="X52">
        <v>-1417349443</v>
      </c>
      <c r="Y52">
        <f t="shared" si="16"/>
        <v>0.02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1</v>
      </c>
      <c r="AJ52">
        <v>1</v>
      </c>
      <c r="AK52">
        <v>1</v>
      </c>
      <c r="AL52">
        <v>1</v>
      </c>
      <c r="AM52">
        <v>-2</v>
      </c>
      <c r="AN52">
        <v>0</v>
      </c>
      <c r="AO52">
        <v>0</v>
      </c>
      <c r="AP52">
        <v>1</v>
      </c>
      <c r="AQ52">
        <v>1</v>
      </c>
      <c r="AR52">
        <v>0</v>
      </c>
      <c r="AS52" t="s">
        <v>3</v>
      </c>
      <c r="AT52">
        <v>0.02</v>
      </c>
      <c r="AU52" t="s">
        <v>3</v>
      </c>
      <c r="AV52">
        <v>2</v>
      </c>
      <c r="AW52">
        <v>2</v>
      </c>
      <c r="AX52">
        <v>65174900</v>
      </c>
      <c r="AY52">
        <v>1</v>
      </c>
      <c r="AZ52">
        <v>0</v>
      </c>
      <c r="BA52">
        <v>53</v>
      </c>
      <c r="BB52">
        <v>1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0</v>
      </c>
      <c r="BK52">
        <v>0</v>
      </c>
      <c r="BL52">
        <v>0</v>
      </c>
      <c r="BM52">
        <v>0</v>
      </c>
      <c r="BN52">
        <v>0</v>
      </c>
      <c r="BO52">
        <v>0</v>
      </c>
      <c r="BP52">
        <v>0</v>
      </c>
      <c r="BQ52">
        <v>0</v>
      </c>
      <c r="BR52">
        <v>0</v>
      </c>
      <c r="BS52">
        <v>0</v>
      </c>
      <c r="BT52">
        <v>0</v>
      </c>
      <c r="BU52">
        <v>0</v>
      </c>
      <c r="BV52">
        <v>0</v>
      </c>
      <c r="BW52">
        <v>0</v>
      </c>
      <c r="CV52">
        <v>0</v>
      </c>
      <c r="CW52">
        <v>0</v>
      </c>
      <c r="CX52">
        <f>ROUND(Y52*Source!I143,7)</f>
        <v>0.12</v>
      </c>
      <c r="CY52">
        <f>AD52</f>
        <v>0</v>
      </c>
      <c r="CZ52">
        <f>AH52</f>
        <v>0</v>
      </c>
      <c r="DA52">
        <f>AL52</f>
        <v>1</v>
      </c>
      <c r="DB52">
        <f t="shared" si="17"/>
        <v>0</v>
      </c>
      <c r="DC52">
        <f t="shared" si="18"/>
        <v>0</v>
      </c>
      <c r="DD52" t="s">
        <v>3</v>
      </c>
      <c r="DE52" t="s">
        <v>3</v>
      </c>
      <c r="DF52">
        <f>ROUND(ROUND(AE52,2)*CX52,2)</f>
        <v>0</v>
      </c>
      <c r="DG52">
        <f t="shared" si="25"/>
        <v>0</v>
      </c>
      <c r="DH52">
        <f t="shared" si="20"/>
        <v>0</v>
      </c>
      <c r="DI52">
        <f t="shared" si="21"/>
        <v>0</v>
      </c>
      <c r="DJ52">
        <f>DI52</f>
        <v>0</v>
      </c>
      <c r="DK52">
        <v>0</v>
      </c>
      <c r="DL52" t="s">
        <v>3</v>
      </c>
      <c r="DM52">
        <v>0</v>
      </c>
      <c r="DN52" t="s">
        <v>3</v>
      </c>
      <c r="DO52">
        <v>0</v>
      </c>
    </row>
    <row r="53" spans="1:119" x14ac:dyDescent="0.2">
      <c r="A53">
        <f>ROW(Source!A143)</f>
        <v>143</v>
      </c>
      <c r="B53">
        <v>65174513</v>
      </c>
      <c r="C53">
        <v>65174889</v>
      </c>
      <c r="D53">
        <v>64001515</v>
      </c>
      <c r="E53">
        <v>1</v>
      </c>
      <c r="F53">
        <v>1</v>
      </c>
      <c r="G53">
        <v>1</v>
      </c>
      <c r="H53">
        <v>2</v>
      </c>
      <c r="I53" t="s">
        <v>318</v>
      </c>
      <c r="J53" t="s">
        <v>319</v>
      </c>
      <c r="K53" t="s">
        <v>320</v>
      </c>
      <c r="L53">
        <v>1368</v>
      </c>
      <c r="N53">
        <v>1011</v>
      </c>
      <c r="O53" t="s">
        <v>311</v>
      </c>
      <c r="P53" t="s">
        <v>311</v>
      </c>
      <c r="Q53">
        <v>1</v>
      </c>
      <c r="W53">
        <v>0</v>
      </c>
      <c r="X53">
        <v>-613270886</v>
      </c>
      <c r="Y53">
        <f t="shared" si="16"/>
        <v>0.01</v>
      </c>
      <c r="AA53">
        <v>0</v>
      </c>
      <c r="AB53">
        <v>1551.19</v>
      </c>
      <c r="AC53">
        <v>658.94</v>
      </c>
      <c r="AD53">
        <v>0</v>
      </c>
      <c r="AE53">
        <v>0</v>
      </c>
      <c r="AF53">
        <v>1551.19</v>
      </c>
      <c r="AG53">
        <v>658.94</v>
      </c>
      <c r="AH53">
        <v>0</v>
      </c>
      <c r="AI53">
        <v>1</v>
      </c>
      <c r="AJ53">
        <v>1</v>
      </c>
      <c r="AK53">
        <v>1</v>
      </c>
      <c r="AL53">
        <v>1</v>
      </c>
      <c r="AM53">
        <v>-2</v>
      </c>
      <c r="AN53">
        <v>0</v>
      </c>
      <c r="AO53">
        <v>0</v>
      </c>
      <c r="AP53">
        <v>1</v>
      </c>
      <c r="AQ53">
        <v>1</v>
      </c>
      <c r="AR53">
        <v>0</v>
      </c>
      <c r="AS53" t="s">
        <v>3</v>
      </c>
      <c r="AT53">
        <v>0.01</v>
      </c>
      <c r="AU53" t="s">
        <v>3</v>
      </c>
      <c r="AV53">
        <v>1</v>
      </c>
      <c r="AW53">
        <v>2</v>
      </c>
      <c r="AX53">
        <v>65174901</v>
      </c>
      <c r="AY53">
        <v>1</v>
      </c>
      <c r="AZ53">
        <v>0</v>
      </c>
      <c r="BA53">
        <v>54</v>
      </c>
      <c r="BB53">
        <v>1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15.511900000000001</v>
      </c>
      <c r="BL53">
        <v>6.5894000000000004</v>
      </c>
      <c r="BM53">
        <v>0</v>
      </c>
      <c r="BN53">
        <v>0</v>
      </c>
      <c r="BO53">
        <v>0.01</v>
      </c>
      <c r="BP53">
        <v>1</v>
      </c>
      <c r="BQ53">
        <v>0</v>
      </c>
      <c r="BR53">
        <v>15.511900000000001</v>
      </c>
      <c r="BS53">
        <v>6.5894000000000004</v>
      </c>
      <c r="BT53">
        <v>0</v>
      </c>
      <c r="BU53">
        <v>0</v>
      </c>
      <c r="BV53">
        <v>0.01</v>
      </c>
      <c r="BW53">
        <v>1</v>
      </c>
      <c r="CV53">
        <v>0</v>
      </c>
      <c r="CW53">
        <f>ROUND(Y53*Source!I143*DO53,7)</f>
        <v>0.06</v>
      </c>
      <c r="CX53">
        <f>ROUND(Y53*Source!I143,7)</f>
        <v>0.06</v>
      </c>
      <c r="CY53">
        <f>AB53</f>
        <v>1551.19</v>
      </c>
      <c r="CZ53">
        <f>AF53</f>
        <v>1551.19</v>
      </c>
      <c r="DA53">
        <f>AJ53</f>
        <v>1</v>
      </c>
      <c r="DB53">
        <f t="shared" si="17"/>
        <v>15.51</v>
      </c>
      <c r="DC53">
        <f t="shared" si="18"/>
        <v>6.59</v>
      </c>
      <c r="DD53" t="s">
        <v>3</v>
      </c>
      <c r="DE53" t="s">
        <v>3</v>
      </c>
      <c r="DF53">
        <f>ROUND(ROUND(AE53,2)*CX53,2)</f>
        <v>0</v>
      </c>
      <c r="DG53">
        <f t="shared" si="25"/>
        <v>93.07</v>
      </c>
      <c r="DH53">
        <f t="shared" si="20"/>
        <v>39.54</v>
      </c>
      <c r="DI53">
        <f t="shared" si="21"/>
        <v>0</v>
      </c>
      <c r="DJ53">
        <f>DG53+DH53</f>
        <v>132.60999999999999</v>
      </c>
      <c r="DK53">
        <v>1</v>
      </c>
      <c r="DL53" t="s">
        <v>321</v>
      </c>
      <c r="DM53">
        <v>6</v>
      </c>
      <c r="DN53" t="s">
        <v>296</v>
      </c>
      <c r="DO53">
        <v>1</v>
      </c>
    </row>
    <row r="54" spans="1:119" x14ac:dyDescent="0.2">
      <c r="A54">
        <f>ROW(Source!A143)</f>
        <v>143</v>
      </c>
      <c r="B54">
        <v>65174513</v>
      </c>
      <c r="C54">
        <v>65174889</v>
      </c>
      <c r="D54">
        <v>64002400</v>
      </c>
      <c r="E54">
        <v>1</v>
      </c>
      <c r="F54">
        <v>1</v>
      </c>
      <c r="G54">
        <v>1</v>
      </c>
      <c r="H54">
        <v>2</v>
      </c>
      <c r="I54" t="s">
        <v>328</v>
      </c>
      <c r="J54" t="s">
        <v>329</v>
      </c>
      <c r="K54" t="s">
        <v>330</v>
      </c>
      <c r="L54">
        <v>1368</v>
      </c>
      <c r="N54">
        <v>1011</v>
      </c>
      <c r="O54" t="s">
        <v>311</v>
      </c>
      <c r="P54" t="s">
        <v>311</v>
      </c>
      <c r="Q54">
        <v>1</v>
      </c>
      <c r="W54">
        <v>0</v>
      </c>
      <c r="X54">
        <v>1032761012</v>
      </c>
      <c r="Y54">
        <f t="shared" si="16"/>
        <v>0.01</v>
      </c>
      <c r="AA54">
        <v>0</v>
      </c>
      <c r="AB54">
        <v>578.28</v>
      </c>
      <c r="AC54">
        <v>490.55</v>
      </c>
      <c r="AD54">
        <v>0</v>
      </c>
      <c r="AE54">
        <v>0</v>
      </c>
      <c r="AF54">
        <v>477.92</v>
      </c>
      <c r="AG54">
        <v>490.55</v>
      </c>
      <c r="AH54">
        <v>0</v>
      </c>
      <c r="AI54">
        <v>1</v>
      </c>
      <c r="AJ54">
        <v>1.21</v>
      </c>
      <c r="AK54">
        <v>1</v>
      </c>
      <c r="AL54">
        <v>1</v>
      </c>
      <c r="AM54">
        <v>2</v>
      </c>
      <c r="AN54">
        <v>0</v>
      </c>
      <c r="AO54">
        <v>0</v>
      </c>
      <c r="AP54">
        <v>1</v>
      </c>
      <c r="AQ54">
        <v>1</v>
      </c>
      <c r="AR54">
        <v>0</v>
      </c>
      <c r="AS54" t="s">
        <v>3</v>
      </c>
      <c r="AT54">
        <v>0.01</v>
      </c>
      <c r="AU54" t="s">
        <v>3</v>
      </c>
      <c r="AV54">
        <v>1</v>
      </c>
      <c r="AW54">
        <v>2</v>
      </c>
      <c r="AX54">
        <v>65174902</v>
      </c>
      <c r="AY54">
        <v>1</v>
      </c>
      <c r="AZ54">
        <v>0</v>
      </c>
      <c r="BA54">
        <v>55</v>
      </c>
      <c r="BB54">
        <v>1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4.7792000000000003</v>
      </c>
      <c r="BL54">
        <v>4.9055</v>
      </c>
      <c r="BM54">
        <v>0</v>
      </c>
      <c r="BN54">
        <v>0</v>
      </c>
      <c r="BO54">
        <v>0.01</v>
      </c>
      <c r="BP54">
        <v>1</v>
      </c>
      <c r="BQ54">
        <v>0</v>
      </c>
      <c r="BR54">
        <v>4.7792000000000003</v>
      </c>
      <c r="BS54">
        <v>4.9055</v>
      </c>
      <c r="BT54">
        <v>0</v>
      </c>
      <c r="BU54">
        <v>0</v>
      </c>
      <c r="BV54">
        <v>0.01</v>
      </c>
      <c r="BW54">
        <v>1</v>
      </c>
      <c r="CV54">
        <v>0</v>
      </c>
      <c r="CW54">
        <f>ROUND(Y54*Source!I143*DO54,7)</f>
        <v>0.06</v>
      </c>
      <c r="CX54">
        <f>ROUND(Y54*Source!I143,7)</f>
        <v>0.06</v>
      </c>
      <c r="CY54">
        <f>AB54</f>
        <v>578.28</v>
      </c>
      <c r="CZ54">
        <f>AF54</f>
        <v>477.92</v>
      </c>
      <c r="DA54">
        <f>AJ54</f>
        <v>1.21</v>
      </c>
      <c r="DB54">
        <f t="shared" si="17"/>
        <v>4.78</v>
      </c>
      <c r="DC54">
        <f t="shared" si="18"/>
        <v>4.91</v>
      </c>
      <c r="DD54" t="s">
        <v>3</v>
      </c>
      <c r="DE54" t="s">
        <v>3</v>
      </c>
      <c r="DF54">
        <f>ROUND(ROUND(AE54,2)*CX54,2)</f>
        <v>0</v>
      </c>
      <c r="DG54">
        <f>ROUND(ROUND(AF54*AJ54,2)*CX54,2)</f>
        <v>34.700000000000003</v>
      </c>
      <c r="DH54">
        <f t="shared" si="20"/>
        <v>29.43</v>
      </c>
      <c r="DI54">
        <f t="shared" si="21"/>
        <v>0</v>
      </c>
      <c r="DJ54">
        <f>DG54+DH54</f>
        <v>64.13</v>
      </c>
      <c r="DK54">
        <v>0</v>
      </c>
      <c r="DL54" t="s">
        <v>312</v>
      </c>
      <c r="DM54">
        <v>4</v>
      </c>
      <c r="DN54" t="s">
        <v>296</v>
      </c>
      <c r="DO54">
        <v>1</v>
      </c>
    </row>
    <row r="55" spans="1:119" x14ac:dyDescent="0.2">
      <c r="A55">
        <f>ROW(Source!A143)</f>
        <v>143</v>
      </c>
      <c r="B55">
        <v>65174513</v>
      </c>
      <c r="C55">
        <v>65174889</v>
      </c>
      <c r="D55">
        <v>63953063</v>
      </c>
      <c r="E55">
        <v>1</v>
      </c>
      <c r="F55">
        <v>1</v>
      </c>
      <c r="G55">
        <v>1</v>
      </c>
      <c r="H55">
        <v>3</v>
      </c>
      <c r="I55" t="s">
        <v>352</v>
      </c>
      <c r="J55" t="s">
        <v>353</v>
      </c>
      <c r="K55" t="s">
        <v>354</v>
      </c>
      <c r="L55">
        <v>1348</v>
      </c>
      <c r="N55">
        <v>1009</v>
      </c>
      <c r="O55" t="s">
        <v>338</v>
      </c>
      <c r="P55" t="s">
        <v>338</v>
      </c>
      <c r="Q55">
        <v>1000</v>
      </c>
      <c r="W55">
        <v>0</v>
      </c>
      <c r="X55">
        <v>1633468425</v>
      </c>
      <c r="Y55">
        <f t="shared" si="16"/>
        <v>8.0000000000000004E-4</v>
      </c>
      <c r="AA55">
        <v>135080.51999999999</v>
      </c>
      <c r="AB55">
        <v>0</v>
      </c>
      <c r="AC55">
        <v>0</v>
      </c>
      <c r="AD55">
        <v>0</v>
      </c>
      <c r="AE55">
        <v>116448.72</v>
      </c>
      <c r="AF55">
        <v>0</v>
      </c>
      <c r="AG55">
        <v>0</v>
      </c>
      <c r="AH55">
        <v>0</v>
      </c>
      <c r="AI55">
        <v>1.1599999999999999</v>
      </c>
      <c r="AJ55">
        <v>1</v>
      </c>
      <c r="AK55">
        <v>1</v>
      </c>
      <c r="AL55">
        <v>1</v>
      </c>
      <c r="AM55">
        <v>2</v>
      </c>
      <c r="AN55">
        <v>0</v>
      </c>
      <c r="AO55">
        <v>0</v>
      </c>
      <c r="AP55">
        <v>1</v>
      </c>
      <c r="AQ55">
        <v>1</v>
      </c>
      <c r="AR55">
        <v>0</v>
      </c>
      <c r="AS55" t="s">
        <v>3</v>
      </c>
      <c r="AT55">
        <v>8.0000000000000004E-4</v>
      </c>
      <c r="AU55" t="s">
        <v>3</v>
      </c>
      <c r="AV55">
        <v>0</v>
      </c>
      <c r="AW55">
        <v>2</v>
      </c>
      <c r="AX55">
        <v>65174903</v>
      </c>
      <c r="AY55">
        <v>1</v>
      </c>
      <c r="AZ55">
        <v>0</v>
      </c>
      <c r="BA55">
        <v>56</v>
      </c>
      <c r="BB55">
        <v>1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93.15897600000001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1</v>
      </c>
      <c r="BQ55">
        <v>93.15897600000001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1</v>
      </c>
      <c r="CV55">
        <v>0</v>
      </c>
      <c r="CW55">
        <v>0</v>
      </c>
      <c r="CX55">
        <f>ROUND(Y55*Source!I143,7)</f>
        <v>4.7999999999999996E-3</v>
      </c>
      <c r="CY55">
        <f>AA55</f>
        <v>135080.51999999999</v>
      </c>
      <c r="CZ55">
        <f>AE55</f>
        <v>116448.72</v>
      </c>
      <c r="DA55">
        <f>AI55</f>
        <v>1.1599999999999999</v>
      </c>
      <c r="DB55">
        <f t="shared" si="17"/>
        <v>93.16</v>
      </c>
      <c r="DC55">
        <f t="shared" si="18"/>
        <v>0</v>
      </c>
      <c r="DD55" t="s">
        <v>3</v>
      </c>
      <c r="DE55" t="s">
        <v>3</v>
      </c>
      <c r="DF55">
        <f>ROUND(ROUND(AE55*AI55,2)*CX55,2)</f>
        <v>648.39</v>
      </c>
      <c r="DG55">
        <f t="shared" ref="DG55:DG61" si="27">ROUND(ROUND(AF55,2)*CX55,2)</f>
        <v>0</v>
      </c>
      <c r="DH55">
        <f t="shared" si="20"/>
        <v>0</v>
      </c>
      <c r="DI55">
        <f t="shared" si="21"/>
        <v>0</v>
      </c>
      <c r="DJ55">
        <f>DF55</f>
        <v>648.39</v>
      </c>
      <c r="DK55">
        <v>0</v>
      </c>
      <c r="DL55" t="s">
        <v>3</v>
      </c>
      <c r="DM55">
        <v>0</v>
      </c>
      <c r="DN55" t="s">
        <v>3</v>
      </c>
      <c r="DO55">
        <v>0</v>
      </c>
    </row>
    <row r="56" spans="1:119" x14ac:dyDescent="0.2">
      <c r="A56">
        <f>ROW(Source!A143)</f>
        <v>143</v>
      </c>
      <c r="B56">
        <v>65174513</v>
      </c>
      <c r="C56">
        <v>65174889</v>
      </c>
      <c r="D56">
        <v>63953080</v>
      </c>
      <c r="E56">
        <v>1</v>
      </c>
      <c r="F56">
        <v>1</v>
      </c>
      <c r="G56">
        <v>1</v>
      </c>
      <c r="H56">
        <v>3</v>
      </c>
      <c r="I56" t="s">
        <v>355</v>
      </c>
      <c r="J56" t="s">
        <v>356</v>
      </c>
      <c r="K56" t="s">
        <v>357</v>
      </c>
      <c r="L56">
        <v>1348</v>
      </c>
      <c r="N56">
        <v>1009</v>
      </c>
      <c r="O56" t="s">
        <v>338</v>
      </c>
      <c r="P56" t="s">
        <v>338</v>
      </c>
      <c r="Q56">
        <v>1000</v>
      </c>
      <c r="W56">
        <v>0</v>
      </c>
      <c r="X56">
        <v>-1314008619</v>
      </c>
      <c r="Y56">
        <f t="shared" si="16"/>
        <v>2.0000000000000002E-5</v>
      </c>
      <c r="AA56">
        <v>144834.14000000001</v>
      </c>
      <c r="AB56">
        <v>0</v>
      </c>
      <c r="AC56">
        <v>0</v>
      </c>
      <c r="AD56">
        <v>0</v>
      </c>
      <c r="AE56">
        <v>81827.199999999997</v>
      </c>
      <c r="AF56">
        <v>0</v>
      </c>
      <c r="AG56">
        <v>0</v>
      </c>
      <c r="AH56">
        <v>0</v>
      </c>
      <c r="AI56">
        <v>1.77</v>
      </c>
      <c r="AJ56">
        <v>1</v>
      </c>
      <c r="AK56">
        <v>1</v>
      </c>
      <c r="AL56">
        <v>1</v>
      </c>
      <c r="AM56">
        <v>2</v>
      </c>
      <c r="AN56">
        <v>0</v>
      </c>
      <c r="AO56">
        <v>0</v>
      </c>
      <c r="AP56">
        <v>1</v>
      </c>
      <c r="AQ56">
        <v>1</v>
      </c>
      <c r="AR56">
        <v>0</v>
      </c>
      <c r="AS56" t="s">
        <v>3</v>
      </c>
      <c r="AT56">
        <v>2.0000000000000002E-5</v>
      </c>
      <c r="AU56" t="s">
        <v>3</v>
      </c>
      <c r="AV56">
        <v>0</v>
      </c>
      <c r="AW56">
        <v>2</v>
      </c>
      <c r="AX56">
        <v>65174904</v>
      </c>
      <c r="AY56">
        <v>1</v>
      </c>
      <c r="AZ56">
        <v>0</v>
      </c>
      <c r="BA56">
        <v>57</v>
      </c>
      <c r="BB56">
        <v>1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1.636544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1</v>
      </c>
      <c r="BQ56">
        <v>1.636544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1</v>
      </c>
      <c r="CV56">
        <v>0</v>
      </c>
      <c r="CW56">
        <v>0</v>
      </c>
      <c r="CX56">
        <f>ROUND(Y56*Source!I143,7)</f>
        <v>1.2E-4</v>
      </c>
      <c r="CY56">
        <f>AA56</f>
        <v>144834.14000000001</v>
      </c>
      <c r="CZ56">
        <f>AE56</f>
        <v>81827.199999999997</v>
      </c>
      <c r="DA56">
        <f>AI56</f>
        <v>1.77</v>
      </c>
      <c r="DB56">
        <f t="shared" si="17"/>
        <v>1.64</v>
      </c>
      <c r="DC56">
        <f t="shared" si="18"/>
        <v>0</v>
      </c>
      <c r="DD56" t="s">
        <v>3</v>
      </c>
      <c r="DE56" t="s">
        <v>3</v>
      </c>
      <c r="DF56">
        <f>ROUND(ROUND(AE56*AI56,2)*CX56,2)</f>
        <v>17.38</v>
      </c>
      <c r="DG56">
        <f t="shared" si="27"/>
        <v>0</v>
      </c>
      <c r="DH56">
        <f t="shared" si="20"/>
        <v>0</v>
      </c>
      <c r="DI56">
        <f t="shared" si="21"/>
        <v>0</v>
      </c>
      <c r="DJ56">
        <f>DF56</f>
        <v>17.38</v>
      </c>
      <c r="DK56">
        <v>0</v>
      </c>
      <c r="DL56" t="s">
        <v>3</v>
      </c>
      <c r="DM56">
        <v>0</v>
      </c>
      <c r="DN56" t="s">
        <v>3</v>
      </c>
      <c r="DO56">
        <v>0</v>
      </c>
    </row>
    <row r="57" spans="1:119" x14ac:dyDescent="0.2">
      <c r="A57">
        <f>ROW(Source!A143)</f>
        <v>143</v>
      </c>
      <c r="B57">
        <v>65174513</v>
      </c>
      <c r="C57">
        <v>65174889</v>
      </c>
      <c r="D57">
        <v>63954970</v>
      </c>
      <c r="E57">
        <v>1</v>
      </c>
      <c r="F57">
        <v>1</v>
      </c>
      <c r="G57">
        <v>1</v>
      </c>
      <c r="H57">
        <v>3</v>
      </c>
      <c r="I57" t="s">
        <v>331</v>
      </c>
      <c r="J57" t="s">
        <v>332</v>
      </c>
      <c r="K57" t="s">
        <v>333</v>
      </c>
      <c r="L57">
        <v>1302</v>
      </c>
      <c r="N57">
        <v>1003</v>
      </c>
      <c r="O57" t="s">
        <v>334</v>
      </c>
      <c r="P57" t="s">
        <v>334</v>
      </c>
      <c r="Q57">
        <v>10</v>
      </c>
      <c r="W57">
        <v>0</v>
      </c>
      <c r="X57">
        <v>713922976</v>
      </c>
      <c r="Y57">
        <f t="shared" si="16"/>
        <v>2.4E-2</v>
      </c>
      <c r="AA57">
        <v>57.7</v>
      </c>
      <c r="AB57">
        <v>0</v>
      </c>
      <c r="AC57">
        <v>0</v>
      </c>
      <c r="AD57">
        <v>0</v>
      </c>
      <c r="AE57">
        <v>37.71</v>
      </c>
      <c r="AF57">
        <v>0</v>
      </c>
      <c r="AG57">
        <v>0</v>
      </c>
      <c r="AH57">
        <v>0</v>
      </c>
      <c r="AI57">
        <v>1.53</v>
      </c>
      <c r="AJ57">
        <v>1</v>
      </c>
      <c r="AK57">
        <v>1</v>
      </c>
      <c r="AL57">
        <v>1</v>
      </c>
      <c r="AM57">
        <v>2</v>
      </c>
      <c r="AN57">
        <v>0</v>
      </c>
      <c r="AO57">
        <v>0</v>
      </c>
      <c r="AP57">
        <v>1</v>
      </c>
      <c r="AQ57">
        <v>1</v>
      </c>
      <c r="AR57">
        <v>0</v>
      </c>
      <c r="AS57" t="s">
        <v>3</v>
      </c>
      <c r="AT57">
        <v>2.4E-2</v>
      </c>
      <c r="AU57" t="s">
        <v>3</v>
      </c>
      <c r="AV57">
        <v>0</v>
      </c>
      <c r="AW57">
        <v>2</v>
      </c>
      <c r="AX57">
        <v>65174905</v>
      </c>
      <c r="AY57">
        <v>1</v>
      </c>
      <c r="AZ57">
        <v>0</v>
      </c>
      <c r="BA57">
        <v>58</v>
      </c>
      <c r="BB57">
        <v>1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0.90504000000000007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1</v>
      </c>
      <c r="BQ57">
        <v>0.90504000000000007</v>
      </c>
      <c r="BR57">
        <v>0</v>
      </c>
      <c r="BS57">
        <v>0</v>
      </c>
      <c r="BT57">
        <v>0</v>
      </c>
      <c r="BU57">
        <v>0</v>
      </c>
      <c r="BV57">
        <v>0</v>
      </c>
      <c r="BW57">
        <v>1</v>
      </c>
      <c r="CV57">
        <v>0</v>
      </c>
      <c r="CW57">
        <v>0</v>
      </c>
      <c r="CX57">
        <f>ROUND(Y57*Source!I143,7)</f>
        <v>0.14399999999999999</v>
      </c>
      <c r="CY57">
        <f>AA57</f>
        <v>57.7</v>
      </c>
      <c r="CZ57">
        <f>AE57</f>
        <v>37.71</v>
      </c>
      <c r="DA57">
        <f>AI57</f>
        <v>1.53</v>
      </c>
      <c r="DB57">
        <f t="shared" si="17"/>
        <v>0.91</v>
      </c>
      <c r="DC57">
        <f t="shared" si="18"/>
        <v>0</v>
      </c>
      <c r="DD57" t="s">
        <v>3</v>
      </c>
      <c r="DE57" t="s">
        <v>3</v>
      </c>
      <c r="DF57">
        <f>ROUND(ROUND(AE57*AI57,2)*CX57,2)</f>
        <v>8.31</v>
      </c>
      <c r="DG57">
        <f t="shared" si="27"/>
        <v>0</v>
      </c>
      <c r="DH57">
        <f t="shared" si="20"/>
        <v>0</v>
      </c>
      <c r="DI57">
        <f t="shared" si="21"/>
        <v>0</v>
      </c>
      <c r="DJ57">
        <f>DF57</f>
        <v>8.31</v>
      </c>
      <c r="DK57">
        <v>0</v>
      </c>
      <c r="DL57" t="s">
        <v>3</v>
      </c>
      <c r="DM57">
        <v>0</v>
      </c>
      <c r="DN57" t="s">
        <v>3</v>
      </c>
      <c r="DO57">
        <v>0</v>
      </c>
    </row>
    <row r="58" spans="1:119" x14ac:dyDescent="0.2">
      <c r="A58">
        <f>ROW(Source!A143)</f>
        <v>143</v>
      </c>
      <c r="B58">
        <v>65174513</v>
      </c>
      <c r="C58">
        <v>65174889</v>
      </c>
      <c r="D58">
        <v>63979957</v>
      </c>
      <c r="E58">
        <v>1</v>
      </c>
      <c r="F58">
        <v>1</v>
      </c>
      <c r="G58">
        <v>1</v>
      </c>
      <c r="H58">
        <v>3</v>
      </c>
      <c r="I58" t="s">
        <v>358</v>
      </c>
      <c r="J58" t="s">
        <v>359</v>
      </c>
      <c r="K58" t="s">
        <v>360</v>
      </c>
      <c r="L58">
        <v>1425</v>
      </c>
      <c r="N58">
        <v>1013</v>
      </c>
      <c r="O58" t="s">
        <v>185</v>
      </c>
      <c r="P58" t="s">
        <v>185</v>
      </c>
      <c r="Q58">
        <v>1</v>
      </c>
      <c r="W58">
        <v>0</v>
      </c>
      <c r="X58">
        <v>-189401294</v>
      </c>
      <c r="Y58">
        <f t="shared" si="16"/>
        <v>3.1E-2</v>
      </c>
      <c r="AA58">
        <v>36051.879999999997</v>
      </c>
      <c r="AB58">
        <v>0</v>
      </c>
      <c r="AC58">
        <v>0</v>
      </c>
      <c r="AD58">
        <v>0</v>
      </c>
      <c r="AE58">
        <v>28612.6</v>
      </c>
      <c r="AF58">
        <v>0</v>
      </c>
      <c r="AG58">
        <v>0</v>
      </c>
      <c r="AH58">
        <v>0</v>
      </c>
      <c r="AI58">
        <v>1.26</v>
      </c>
      <c r="AJ58">
        <v>1</v>
      </c>
      <c r="AK58">
        <v>1</v>
      </c>
      <c r="AL58">
        <v>1</v>
      </c>
      <c r="AM58">
        <v>2</v>
      </c>
      <c r="AN58">
        <v>0</v>
      </c>
      <c r="AO58">
        <v>0</v>
      </c>
      <c r="AP58">
        <v>1</v>
      </c>
      <c r="AQ58">
        <v>1</v>
      </c>
      <c r="AR58">
        <v>0</v>
      </c>
      <c r="AS58" t="s">
        <v>3</v>
      </c>
      <c r="AT58">
        <v>3.1E-2</v>
      </c>
      <c r="AU58" t="s">
        <v>3</v>
      </c>
      <c r="AV58">
        <v>0</v>
      </c>
      <c r="AW58">
        <v>2</v>
      </c>
      <c r="AX58">
        <v>65174906</v>
      </c>
      <c r="AY58">
        <v>1</v>
      </c>
      <c r="AZ58">
        <v>0</v>
      </c>
      <c r="BA58">
        <v>59</v>
      </c>
      <c r="BB58">
        <v>1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886.99059999999997</v>
      </c>
      <c r="BK58">
        <v>0</v>
      </c>
      <c r="BL58">
        <v>0</v>
      </c>
      <c r="BM58">
        <v>0</v>
      </c>
      <c r="BN58">
        <v>0</v>
      </c>
      <c r="BO58">
        <v>0</v>
      </c>
      <c r="BP58">
        <v>1</v>
      </c>
      <c r="BQ58">
        <v>886.99059999999997</v>
      </c>
      <c r="BR58">
        <v>0</v>
      </c>
      <c r="BS58">
        <v>0</v>
      </c>
      <c r="BT58">
        <v>0</v>
      </c>
      <c r="BU58">
        <v>0</v>
      </c>
      <c r="BV58">
        <v>0</v>
      </c>
      <c r="BW58">
        <v>1</v>
      </c>
      <c r="CV58">
        <v>0</v>
      </c>
      <c r="CW58">
        <v>0</v>
      </c>
      <c r="CX58">
        <f>ROUND(Y58*Source!I143,7)</f>
        <v>0.186</v>
      </c>
      <c r="CY58">
        <f>AA58</f>
        <v>36051.879999999997</v>
      </c>
      <c r="CZ58">
        <f>AE58</f>
        <v>28612.6</v>
      </c>
      <c r="DA58">
        <f>AI58</f>
        <v>1.26</v>
      </c>
      <c r="DB58">
        <f t="shared" si="17"/>
        <v>886.99</v>
      </c>
      <c r="DC58">
        <f t="shared" si="18"/>
        <v>0</v>
      </c>
      <c r="DD58" t="s">
        <v>3</v>
      </c>
      <c r="DE58" t="s">
        <v>3</v>
      </c>
      <c r="DF58">
        <f>ROUND(ROUND(AE58*AI58,2)*CX58,2)</f>
        <v>6705.65</v>
      </c>
      <c r="DG58">
        <f t="shared" si="27"/>
        <v>0</v>
      </c>
      <c r="DH58">
        <f t="shared" si="20"/>
        <v>0</v>
      </c>
      <c r="DI58">
        <f t="shared" si="21"/>
        <v>0</v>
      </c>
      <c r="DJ58">
        <f>DF58</f>
        <v>6705.65</v>
      </c>
      <c r="DK58">
        <v>0</v>
      </c>
      <c r="DL58" t="s">
        <v>3</v>
      </c>
      <c r="DM58">
        <v>0</v>
      </c>
      <c r="DN58" t="s">
        <v>3</v>
      </c>
      <c r="DO58">
        <v>0</v>
      </c>
    </row>
    <row r="59" spans="1:119" x14ac:dyDescent="0.2">
      <c r="A59">
        <f>ROW(Source!A143)</f>
        <v>143</v>
      </c>
      <c r="B59">
        <v>65174513</v>
      </c>
      <c r="C59">
        <v>65174889</v>
      </c>
      <c r="D59">
        <v>63889959</v>
      </c>
      <c r="E59">
        <v>112</v>
      </c>
      <c r="F59">
        <v>1</v>
      </c>
      <c r="G59">
        <v>1</v>
      </c>
      <c r="H59">
        <v>3</v>
      </c>
      <c r="I59" t="s">
        <v>348</v>
      </c>
      <c r="J59" t="s">
        <v>3</v>
      </c>
      <c r="K59" t="s">
        <v>349</v>
      </c>
      <c r="L59">
        <v>3277935</v>
      </c>
      <c r="N59">
        <v>1013</v>
      </c>
      <c r="O59" t="s">
        <v>350</v>
      </c>
      <c r="P59" t="s">
        <v>350</v>
      </c>
      <c r="Q59">
        <v>1</v>
      </c>
      <c r="W59">
        <v>0</v>
      </c>
      <c r="X59">
        <v>274903907</v>
      </c>
      <c r="Y59">
        <f t="shared" si="16"/>
        <v>2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1</v>
      </c>
      <c r="AJ59">
        <v>1</v>
      </c>
      <c r="AK59">
        <v>1</v>
      </c>
      <c r="AL59">
        <v>1</v>
      </c>
      <c r="AM59">
        <v>-2</v>
      </c>
      <c r="AN59">
        <v>0</v>
      </c>
      <c r="AO59">
        <v>0</v>
      </c>
      <c r="AP59">
        <v>0</v>
      </c>
      <c r="AQ59">
        <v>1</v>
      </c>
      <c r="AR59">
        <v>0</v>
      </c>
      <c r="AS59" t="s">
        <v>3</v>
      </c>
      <c r="AT59">
        <v>2</v>
      </c>
      <c r="AU59" t="s">
        <v>3</v>
      </c>
      <c r="AV59">
        <v>0</v>
      </c>
      <c r="AW59">
        <v>2</v>
      </c>
      <c r="AX59">
        <v>65174907</v>
      </c>
      <c r="AY59">
        <v>1</v>
      </c>
      <c r="AZ59">
        <v>0</v>
      </c>
      <c r="BA59">
        <v>60</v>
      </c>
      <c r="BB59">
        <v>1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0</v>
      </c>
      <c r="BQ59">
        <v>0</v>
      </c>
      <c r="BR59">
        <v>0</v>
      </c>
      <c r="BS59">
        <v>0</v>
      </c>
      <c r="BT59">
        <v>0</v>
      </c>
      <c r="BU59">
        <v>0</v>
      </c>
      <c r="BV59">
        <v>0</v>
      </c>
      <c r="BW59">
        <v>0</v>
      </c>
      <c r="CV59">
        <v>0</v>
      </c>
      <c r="CW59">
        <v>0</v>
      </c>
      <c r="CX59">
        <f>ROUND(Y59*Source!I143,7)</f>
        <v>12</v>
      </c>
      <c r="CY59">
        <f>AA59</f>
        <v>0</v>
      </c>
      <c r="CZ59">
        <f>AE59</f>
        <v>0</v>
      </c>
      <c r="DA59">
        <f>AI59</f>
        <v>1</v>
      </c>
      <c r="DB59">
        <f t="shared" si="17"/>
        <v>0</v>
      </c>
      <c r="DC59">
        <f t="shared" si="18"/>
        <v>0</v>
      </c>
      <c r="DD59" t="s">
        <v>3</v>
      </c>
      <c r="DE59" t="s">
        <v>3</v>
      </c>
      <c r="DF59">
        <f t="shared" ref="DF59:DF64" si="28">ROUND(ROUND(AE59,2)*CX59,2)</f>
        <v>0</v>
      </c>
      <c r="DG59">
        <f t="shared" si="27"/>
        <v>0</v>
      </c>
      <c r="DH59">
        <f t="shared" si="20"/>
        <v>0</v>
      </c>
      <c r="DI59">
        <f t="shared" si="21"/>
        <v>0</v>
      </c>
      <c r="DJ59">
        <f>DF59</f>
        <v>0</v>
      </c>
      <c r="DK59">
        <v>0</v>
      </c>
      <c r="DL59" t="s">
        <v>3</v>
      </c>
      <c r="DM59">
        <v>0</v>
      </c>
      <c r="DN59" t="s">
        <v>3</v>
      </c>
      <c r="DO59">
        <v>0</v>
      </c>
    </row>
    <row r="60" spans="1:119" x14ac:dyDescent="0.2">
      <c r="A60">
        <f>ROW(Source!A144)</f>
        <v>144</v>
      </c>
      <c r="B60">
        <v>65174513</v>
      </c>
      <c r="C60">
        <v>65174908</v>
      </c>
      <c r="D60">
        <v>37066491</v>
      </c>
      <c r="E60">
        <v>109</v>
      </c>
      <c r="F60">
        <v>1</v>
      </c>
      <c r="G60">
        <v>1</v>
      </c>
      <c r="H60">
        <v>1</v>
      </c>
      <c r="I60" t="s">
        <v>361</v>
      </c>
      <c r="J60" t="s">
        <v>3</v>
      </c>
      <c r="K60" t="s">
        <v>362</v>
      </c>
      <c r="L60">
        <v>1191</v>
      </c>
      <c r="N60">
        <v>1013</v>
      </c>
      <c r="O60" t="s">
        <v>296</v>
      </c>
      <c r="P60" t="s">
        <v>296</v>
      </c>
      <c r="Q60">
        <v>1</v>
      </c>
      <c r="W60">
        <v>0</v>
      </c>
      <c r="X60">
        <v>1903864200</v>
      </c>
      <c r="Y60">
        <f t="shared" si="16"/>
        <v>4.66</v>
      </c>
      <c r="AA60">
        <v>0</v>
      </c>
      <c r="AB60">
        <v>0</v>
      </c>
      <c r="AC60">
        <v>0</v>
      </c>
      <c r="AD60">
        <v>410.01</v>
      </c>
      <c r="AE60">
        <v>0</v>
      </c>
      <c r="AF60">
        <v>0</v>
      </c>
      <c r="AG60">
        <v>0</v>
      </c>
      <c r="AH60">
        <v>410.01</v>
      </c>
      <c r="AI60">
        <v>1</v>
      </c>
      <c r="AJ60">
        <v>1</v>
      </c>
      <c r="AK60">
        <v>1</v>
      </c>
      <c r="AL60">
        <v>1</v>
      </c>
      <c r="AM60">
        <v>-2</v>
      </c>
      <c r="AN60">
        <v>0</v>
      </c>
      <c r="AO60">
        <v>0</v>
      </c>
      <c r="AP60">
        <v>1</v>
      </c>
      <c r="AQ60">
        <v>1</v>
      </c>
      <c r="AR60">
        <v>0</v>
      </c>
      <c r="AS60" t="s">
        <v>3</v>
      </c>
      <c r="AT60">
        <v>4.66</v>
      </c>
      <c r="AU60" t="s">
        <v>3</v>
      </c>
      <c r="AV60">
        <v>1</v>
      </c>
      <c r="AW60">
        <v>2</v>
      </c>
      <c r="AX60">
        <v>65174913</v>
      </c>
      <c r="AY60">
        <v>1</v>
      </c>
      <c r="AZ60">
        <v>0</v>
      </c>
      <c r="BA60">
        <v>61</v>
      </c>
      <c r="BB60">
        <v>1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0</v>
      </c>
      <c r="BK60">
        <v>0</v>
      </c>
      <c r="BL60">
        <v>0</v>
      </c>
      <c r="BM60">
        <v>1910.6466</v>
      </c>
      <c r="BN60">
        <v>4.66</v>
      </c>
      <c r="BO60">
        <v>0</v>
      </c>
      <c r="BP60">
        <v>1</v>
      </c>
      <c r="BQ60">
        <v>0</v>
      </c>
      <c r="BR60">
        <v>0</v>
      </c>
      <c r="BS60">
        <v>0</v>
      </c>
      <c r="BT60">
        <v>1910.6466</v>
      </c>
      <c r="BU60">
        <v>4.66</v>
      </c>
      <c r="BV60">
        <v>0</v>
      </c>
      <c r="BW60">
        <v>1</v>
      </c>
      <c r="CU60">
        <f>ROUND(AT60*Source!I144*AH60*AL60,2)</f>
        <v>25220.54</v>
      </c>
      <c r="CV60">
        <f>ROUND(Y60*Source!I144,7)</f>
        <v>61.512</v>
      </c>
      <c r="CW60">
        <v>0</v>
      </c>
      <c r="CX60">
        <f>ROUND(Y60*Source!I144,7)</f>
        <v>61.512</v>
      </c>
      <c r="CY60">
        <f>AD60</f>
        <v>410.01</v>
      </c>
      <c r="CZ60">
        <f>AH60</f>
        <v>410.01</v>
      </c>
      <c r="DA60">
        <f>AL60</f>
        <v>1</v>
      </c>
      <c r="DB60">
        <f t="shared" si="17"/>
        <v>1910.65</v>
      </c>
      <c r="DC60">
        <f t="shared" si="18"/>
        <v>0</v>
      </c>
      <c r="DD60" t="s">
        <v>3</v>
      </c>
      <c r="DE60" t="s">
        <v>3</v>
      </c>
      <c r="DF60">
        <f t="shared" si="28"/>
        <v>0</v>
      </c>
      <c r="DG60">
        <f t="shared" si="27"/>
        <v>0</v>
      </c>
      <c r="DH60">
        <f t="shared" si="20"/>
        <v>0</v>
      </c>
      <c r="DI60">
        <f t="shared" si="21"/>
        <v>25220.54</v>
      </c>
      <c r="DJ60">
        <f>DI60</f>
        <v>25220.54</v>
      </c>
      <c r="DK60">
        <v>1</v>
      </c>
      <c r="DL60" t="s">
        <v>3</v>
      </c>
      <c r="DM60">
        <v>0</v>
      </c>
      <c r="DN60" t="s">
        <v>3</v>
      </c>
      <c r="DO60">
        <v>0</v>
      </c>
    </row>
    <row r="61" spans="1:119" x14ac:dyDescent="0.2">
      <c r="A61">
        <f>ROW(Source!A144)</f>
        <v>144</v>
      </c>
      <c r="B61">
        <v>65174513</v>
      </c>
      <c r="C61">
        <v>65174908</v>
      </c>
      <c r="D61">
        <v>37064876</v>
      </c>
      <c r="E61">
        <v>109</v>
      </c>
      <c r="F61">
        <v>1</v>
      </c>
      <c r="G61">
        <v>1</v>
      </c>
      <c r="H61">
        <v>1</v>
      </c>
      <c r="I61" t="s">
        <v>306</v>
      </c>
      <c r="J61" t="s">
        <v>3</v>
      </c>
      <c r="K61" t="s">
        <v>307</v>
      </c>
      <c r="L61">
        <v>1191</v>
      </c>
      <c r="N61">
        <v>1013</v>
      </c>
      <c r="O61" t="s">
        <v>296</v>
      </c>
      <c r="P61" t="s">
        <v>296</v>
      </c>
      <c r="Q61">
        <v>1</v>
      </c>
      <c r="W61">
        <v>0</v>
      </c>
      <c r="X61">
        <v>-1417349443</v>
      </c>
      <c r="Y61">
        <f t="shared" si="16"/>
        <v>0.67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1</v>
      </c>
      <c r="AJ61">
        <v>1</v>
      </c>
      <c r="AK61">
        <v>1</v>
      </c>
      <c r="AL61">
        <v>1</v>
      </c>
      <c r="AM61">
        <v>-2</v>
      </c>
      <c r="AN61">
        <v>0</v>
      </c>
      <c r="AO61">
        <v>0</v>
      </c>
      <c r="AP61">
        <v>1</v>
      </c>
      <c r="AQ61">
        <v>1</v>
      </c>
      <c r="AR61">
        <v>0</v>
      </c>
      <c r="AS61" t="s">
        <v>3</v>
      </c>
      <c r="AT61">
        <v>0.67</v>
      </c>
      <c r="AU61" t="s">
        <v>3</v>
      </c>
      <c r="AV61">
        <v>2</v>
      </c>
      <c r="AW61">
        <v>2</v>
      </c>
      <c r="AX61">
        <v>65174914</v>
      </c>
      <c r="AY61">
        <v>1</v>
      </c>
      <c r="AZ61">
        <v>0</v>
      </c>
      <c r="BA61">
        <v>62</v>
      </c>
      <c r="BB61">
        <v>1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0</v>
      </c>
      <c r="BN61">
        <v>0</v>
      </c>
      <c r="BO61">
        <v>0</v>
      </c>
      <c r="BP61">
        <v>0</v>
      </c>
      <c r="BQ61">
        <v>0</v>
      </c>
      <c r="BR61">
        <v>0</v>
      </c>
      <c r="BS61">
        <v>0</v>
      </c>
      <c r="BT61">
        <v>0</v>
      </c>
      <c r="BU61">
        <v>0</v>
      </c>
      <c r="BV61">
        <v>0</v>
      </c>
      <c r="BW61">
        <v>0</v>
      </c>
      <c r="CV61">
        <v>0</v>
      </c>
      <c r="CW61">
        <v>0</v>
      </c>
      <c r="CX61">
        <f>ROUND(Y61*Source!I144,7)</f>
        <v>8.8439999999999994</v>
      </c>
      <c r="CY61">
        <f>AD61</f>
        <v>0</v>
      </c>
      <c r="CZ61">
        <f>AH61</f>
        <v>0</v>
      </c>
      <c r="DA61">
        <f>AL61</f>
        <v>1</v>
      </c>
      <c r="DB61">
        <f t="shared" si="17"/>
        <v>0</v>
      </c>
      <c r="DC61">
        <f t="shared" si="18"/>
        <v>0</v>
      </c>
      <c r="DD61" t="s">
        <v>3</v>
      </c>
      <c r="DE61" t="s">
        <v>3</v>
      </c>
      <c r="DF61">
        <f t="shared" si="28"/>
        <v>0</v>
      </c>
      <c r="DG61">
        <f t="shared" si="27"/>
        <v>0</v>
      </c>
      <c r="DH61">
        <f t="shared" si="20"/>
        <v>0</v>
      </c>
      <c r="DI61">
        <f t="shared" si="21"/>
        <v>0</v>
      </c>
      <c r="DJ61">
        <f>DI61</f>
        <v>0</v>
      </c>
      <c r="DK61">
        <v>0</v>
      </c>
      <c r="DL61" t="s">
        <v>3</v>
      </c>
      <c r="DM61">
        <v>0</v>
      </c>
      <c r="DN61" t="s">
        <v>3</v>
      </c>
      <c r="DO61">
        <v>0</v>
      </c>
    </row>
    <row r="62" spans="1:119" x14ac:dyDescent="0.2">
      <c r="A62">
        <f>ROW(Source!A144)</f>
        <v>144</v>
      </c>
      <c r="B62">
        <v>65174513</v>
      </c>
      <c r="C62">
        <v>65174908</v>
      </c>
      <c r="D62">
        <v>59055768</v>
      </c>
      <c r="E62">
        <v>1</v>
      </c>
      <c r="F62">
        <v>1</v>
      </c>
      <c r="G62">
        <v>1</v>
      </c>
      <c r="H62">
        <v>2</v>
      </c>
      <c r="I62" t="s">
        <v>328</v>
      </c>
      <c r="J62" t="s">
        <v>329</v>
      </c>
      <c r="K62" t="s">
        <v>330</v>
      </c>
      <c r="L62">
        <v>1368</v>
      </c>
      <c r="N62">
        <v>1011</v>
      </c>
      <c r="O62" t="s">
        <v>311</v>
      </c>
      <c r="P62" t="s">
        <v>311</v>
      </c>
      <c r="Q62">
        <v>1</v>
      </c>
      <c r="W62">
        <v>0</v>
      </c>
      <c r="X62">
        <v>721652621</v>
      </c>
      <c r="Y62">
        <f t="shared" si="16"/>
        <v>0.67</v>
      </c>
      <c r="AA62">
        <v>0</v>
      </c>
      <c r="AB62">
        <v>578.28</v>
      </c>
      <c r="AC62">
        <v>490.55</v>
      </c>
      <c r="AD62">
        <v>0</v>
      </c>
      <c r="AE62">
        <v>0</v>
      </c>
      <c r="AF62">
        <v>477.92</v>
      </c>
      <c r="AG62">
        <v>490.55</v>
      </c>
      <c r="AH62">
        <v>0</v>
      </c>
      <c r="AI62">
        <v>1</v>
      </c>
      <c r="AJ62">
        <v>1.21</v>
      </c>
      <c r="AK62">
        <v>1</v>
      </c>
      <c r="AL62">
        <v>1</v>
      </c>
      <c r="AM62">
        <v>2</v>
      </c>
      <c r="AN62">
        <v>0</v>
      </c>
      <c r="AO62">
        <v>0</v>
      </c>
      <c r="AP62">
        <v>1</v>
      </c>
      <c r="AQ62">
        <v>1</v>
      </c>
      <c r="AR62">
        <v>0</v>
      </c>
      <c r="AS62" t="s">
        <v>3</v>
      </c>
      <c r="AT62">
        <v>0.67</v>
      </c>
      <c r="AU62" t="s">
        <v>3</v>
      </c>
      <c r="AV62">
        <v>1</v>
      </c>
      <c r="AW62">
        <v>2</v>
      </c>
      <c r="AX62">
        <v>65174915</v>
      </c>
      <c r="AY62">
        <v>1</v>
      </c>
      <c r="AZ62">
        <v>0</v>
      </c>
      <c r="BA62">
        <v>63</v>
      </c>
      <c r="BB62">
        <v>1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320.20640000000003</v>
      </c>
      <c r="BL62">
        <v>328.66850000000005</v>
      </c>
      <c r="BM62">
        <v>0</v>
      </c>
      <c r="BN62">
        <v>0</v>
      </c>
      <c r="BO62">
        <v>0.67</v>
      </c>
      <c r="BP62">
        <v>1</v>
      </c>
      <c r="BQ62">
        <v>0</v>
      </c>
      <c r="BR62">
        <v>320.20640000000003</v>
      </c>
      <c r="BS62">
        <v>328.66850000000005</v>
      </c>
      <c r="BT62">
        <v>0</v>
      </c>
      <c r="BU62">
        <v>0</v>
      </c>
      <c r="BV62">
        <v>0.67</v>
      </c>
      <c r="BW62">
        <v>1</v>
      </c>
      <c r="CV62">
        <v>0</v>
      </c>
      <c r="CW62">
        <f>ROUND(Y62*Source!I144*DO62,7)</f>
        <v>8.8439999999999994</v>
      </c>
      <c r="CX62">
        <f>ROUND(Y62*Source!I144,7)</f>
        <v>8.8439999999999994</v>
      </c>
      <c r="CY62">
        <f>AB62</f>
        <v>578.28</v>
      </c>
      <c r="CZ62">
        <f>AF62</f>
        <v>477.92</v>
      </c>
      <c r="DA62">
        <f>AJ62</f>
        <v>1.21</v>
      </c>
      <c r="DB62">
        <f t="shared" si="17"/>
        <v>320.20999999999998</v>
      </c>
      <c r="DC62">
        <f t="shared" si="18"/>
        <v>328.67</v>
      </c>
      <c r="DD62" t="s">
        <v>3</v>
      </c>
      <c r="DE62" t="s">
        <v>3</v>
      </c>
      <c r="DF62">
        <f t="shared" si="28"/>
        <v>0</v>
      </c>
      <c r="DG62">
        <f>ROUND(ROUND(AF62*AJ62,2)*CX62,2)</f>
        <v>5114.3100000000004</v>
      </c>
      <c r="DH62">
        <f t="shared" si="20"/>
        <v>4338.42</v>
      </c>
      <c r="DI62">
        <f t="shared" si="21"/>
        <v>0</v>
      </c>
      <c r="DJ62">
        <f>DG62+DH62</f>
        <v>9452.73</v>
      </c>
      <c r="DK62">
        <v>0</v>
      </c>
      <c r="DL62" t="s">
        <v>312</v>
      </c>
      <c r="DM62">
        <v>4</v>
      </c>
      <c r="DN62" t="s">
        <v>296</v>
      </c>
      <c r="DO62">
        <v>1</v>
      </c>
    </row>
    <row r="63" spans="1:119" x14ac:dyDescent="0.2">
      <c r="A63">
        <f>ROW(Source!A144)</f>
        <v>144</v>
      </c>
      <c r="B63">
        <v>65174513</v>
      </c>
      <c r="C63">
        <v>65174908</v>
      </c>
      <c r="D63">
        <v>58938947</v>
      </c>
      <c r="E63">
        <v>109</v>
      </c>
      <c r="F63">
        <v>1</v>
      </c>
      <c r="G63">
        <v>1</v>
      </c>
      <c r="H63">
        <v>3</v>
      </c>
      <c r="I63" t="s">
        <v>348</v>
      </c>
      <c r="J63" t="s">
        <v>3</v>
      </c>
      <c r="K63" t="s">
        <v>349</v>
      </c>
      <c r="L63">
        <v>3277935</v>
      </c>
      <c r="N63">
        <v>1013</v>
      </c>
      <c r="O63" t="s">
        <v>350</v>
      </c>
      <c r="P63" t="s">
        <v>350</v>
      </c>
      <c r="Q63">
        <v>1</v>
      </c>
      <c r="W63">
        <v>0</v>
      </c>
      <c r="X63">
        <v>274903907</v>
      </c>
      <c r="Y63">
        <f t="shared" si="16"/>
        <v>2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1</v>
      </c>
      <c r="AJ63">
        <v>1</v>
      </c>
      <c r="AK63">
        <v>1</v>
      </c>
      <c r="AL63">
        <v>1</v>
      </c>
      <c r="AM63">
        <v>-2</v>
      </c>
      <c r="AN63">
        <v>0</v>
      </c>
      <c r="AO63">
        <v>0</v>
      </c>
      <c r="AP63">
        <v>0</v>
      </c>
      <c r="AQ63">
        <v>1</v>
      </c>
      <c r="AR63">
        <v>0</v>
      </c>
      <c r="AS63" t="s">
        <v>3</v>
      </c>
      <c r="AT63">
        <v>2</v>
      </c>
      <c r="AU63" t="s">
        <v>3</v>
      </c>
      <c r="AV63">
        <v>0</v>
      </c>
      <c r="AW63">
        <v>2</v>
      </c>
      <c r="AX63">
        <v>65174916</v>
      </c>
      <c r="AY63">
        <v>1</v>
      </c>
      <c r="AZ63">
        <v>0</v>
      </c>
      <c r="BA63">
        <v>64</v>
      </c>
      <c r="BB63">
        <v>1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0</v>
      </c>
      <c r="BQ63">
        <v>0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0</v>
      </c>
      <c r="CV63">
        <v>0</v>
      </c>
      <c r="CW63">
        <v>0</v>
      </c>
      <c r="CX63">
        <f>ROUND(Y63*Source!I144,7)</f>
        <v>26.4</v>
      </c>
      <c r="CY63">
        <f>AA63</f>
        <v>0</v>
      </c>
      <c r="CZ63">
        <f>AE63</f>
        <v>0</v>
      </c>
      <c r="DA63">
        <f>AI63</f>
        <v>1</v>
      </c>
      <c r="DB63">
        <f t="shared" si="17"/>
        <v>0</v>
      </c>
      <c r="DC63">
        <f t="shared" si="18"/>
        <v>0</v>
      </c>
      <c r="DD63" t="s">
        <v>3</v>
      </c>
      <c r="DE63" t="s">
        <v>3</v>
      </c>
      <c r="DF63">
        <f t="shared" si="28"/>
        <v>0</v>
      </c>
      <c r="DG63">
        <f t="shared" ref="DG63:DG75" si="29">ROUND(ROUND(AF63,2)*CX63,2)</f>
        <v>0</v>
      </c>
      <c r="DH63">
        <f t="shared" si="20"/>
        <v>0</v>
      </c>
      <c r="DI63">
        <f t="shared" si="21"/>
        <v>0</v>
      </c>
      <c r="DJ63">
        <f>DF63</f>
        <v>0</v>
      </c>
      <c r="DK63">
        <v>0</v>
      </c>
      <c r="DL63" t="s">
        <v>3</v>
      </c>
      <c r="DM63">
        <v>0</v>
      </c>
      <c r="DN63" t="s">
        <v>3</v>
      </c>
      <c r="DO63">
        <v>0</v>
      </c>
    </row>
    <row r="64" spans="1:119" x14ac:dyDescent="0.2">
      <c r="A64">
        <f>ROW(Source!A145)</f>
        <v>145</v>
      </c>
      <c r="B64">
        <v>65174513</v>
      </c>
      <c r="C64">
        <v>65174917</v>
      </c>
      <c r="D64">
        <v>37064878</v>
      </c>
      <c r="E64">
        <v>109</v>
      </c>
      <c r="F64">
        <v>1</v>
      </c>
      <c r="G64">
        <v>1</v>
      </c>
      <c r="H64">
        <v>1</v>
      </c>
      <c r="I64" t="s">
        <v>316</v>
      </c>
      <c r="J64" t="s">
        <v>3</v>
      </c>
      <c r="K64" t="s">
        <v>317</v>
      </c>
      <c r="L64">
        <v>1191</v>
      </c>
      <c r="N64">
        <v>1013</v>
      </c>
      <c r="O64" t="s">
        <v>296</v>
      </c>
      <c r="P64" t="s">
        <v>296</v>
      </c>
      <c r="Q64">
        <v>1</v>
      </c>
      <c r="W64">
        <v>0</v>
      </c>
      <c r="X64">
        <v>-2012709214</v>
      </c>
      <c r="Y64">
        <f t="shared" si="16"/>
        <v>0.51</v>
      </c>
      <c r="AA64">
        <v>0</v>
      </c>
      <c r="AB64">
        <v>0</v>
      </c>
      <c r="AC64">
        <v>0</v>
      </c>
      <c r="AD64">
        <v>479.56</v>
      </c>
      <c r="AE64">
        <v>0</v>
      </c>
      <c r="AF64">
        <v>0</v>
      </c>
      <c r="AG64">
        <v>0</v>
      </c>
      <c r="AH64">
        <v>479.56</v>
      </c>
      <c r="AI64">
        <v>1</v>
      </c>
      <c r="AJ64">
        <v>1</v>
      </c>
      <c r="AK64">
        <v>1</v>
      </c>
      <c r="AL64">
        <v>1</v>
      </c>
      <c r="AM64">
        <v>-2</v>
      </c>
      <c r="AN64">
        <v>0</v>
      </c>
      <c r="AO64">
        <v>0</v>
      </c>
      <c r="AP64">
        <v>1</v>
      </c>
      <c r="AQ64">
        <v>1</v>
      </c>
      <c r="AR64">
        <v>0</v>
      </c>
      <c r="AS64" t="s">
        <v>3</v>
      </c>
      <c r="AT64">
        <v>0.51</v>
      </c>
      <c r="AU64" t="s">
        <v>3</v>
      </c>
      <c r="AV64">
        <v>1</v>
      </c>
      <c r="AW64">
        <v>2</v>
      </c>
      <c r="AX64">
        <v>65174922</v>
      </c>
      <c r="AY64">
        <v>1</v>
      </c>
      <c r="AZ64">
        <v>0</v>
      </c>
      <c r="BA64">
        <v>65</v>
      </c>
      <c r="BB64">
        <v>1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0</v>
      </c>
      <c r="BI64">
        <v>0</v>
      </c>
      <c r="BJ64">
        <v>0</v>
      </c>
      <c r="BK64">
        <v>0</v>
      </c>
      <c r="BL64">
        <v>0</v>
      </c>
      <c r="BM64">
        <v>244.57560000000001</v>
      </c>
      <c r="BN64">
        <v>0.51</v>
      </c>
      <c r="BO64">
        <v>0</v>
      </c>
      <c r="BP64">
        <v>1</v>
      </c>
      <c r="BQ64">
        <v>0</v>
      </c>
      <c r="BR64">
        <v>0</v>
      </c>
      <c r="BS64">
        <v>0</v>
      </c>
      <c r="BT64">
        <v>244.57560000000001</v>
      </c>
      <c r="BU64">
        <v>0.51</v>
      </c>
      <c r="BV64">
        <v>0</v>
      </c>
      <c r="BW64">
        <v>1</v>
      </c>
      <c r="CU64">
        <f>ROUND(AT64*Source!I145*AH64*AL64,2)</f>
        <v>3179.48</v>
      </c>
      <c r="CV64">
        <f>ROUND(Y64*Source!I145,7)</f>
        <v>6.63</v>
      </c>
      <c r="CW64">
        <v>0</v>
      </c>
      <c r="CX64">
        <f>ROUND(Y64*Source!I145,7)</f>
        <v>6.63</v>
      </c>
      <c r="CY64">
        <f>AD64</f>
        <v>479.56</v>
      </c>
      <c r="CZ64">
        <f>AH64</f>
        <v>479.56</v>
      </c>
      <c r="DA64">
        <f>AL64</f>
        <v>1</v>
      </c>
      <c r="DB64">
        <f t="shared" si="17"/>
        <v>244.58</v>
      </c>
      <c r="DC64">
        <f t="shared" si="18"/>
        <v>0</v>
      </c>
      <c r="DD64" t="s">
        <v>3</v>
      </c>
      <c r="DE64" t="s">
        <v>3</v>
      </c>
      <c r="DF64">
        <f t="shared" si="28"/>
        <v>0</v>
      </c>
      <c r="DG64">
        <f t="shared" si="29"/>
        <v>0</v>
      </c>
      <c r="DH64">
        <f t="shared" si="20"/>
        <v>0</v>
      </c>
      <c r="DI64">
        <f t="shared" si="21"/>
        <v>3179.48</v>
      </c>
      <c r="DJ64">
        <f>DI64</f>
        <v>3179.48</v>
      </c>
      <c r="DK64">
        <v>1</v>
      </c>
      <c r="DL64" t="s">
        <v>3</v>
      </c>
      <c r="DM64">
        <v>0</v>
      </c>
      <c r="DN64" t="s">
        <v>3</v>
      </c>
      <c r="DO64">
        <v>0</v>
      </c>
    </row>
    <row r="65" spans="1:119" x14ac:dyDescent="0.2">
      <c r="A65">
        <f>ROW(Source!A145)</f>
        <v>145</v>
      </c>
      <c r="B65">
        <v>65174513</v>
      </c>
      <c r="C65">
        <v>65174917</v>
      </c>
      <c r="D65">
        <v>59016813</v>
      </c>
      <c r="E65">
        <v>1</v>
      </c>
      <c r="F65">
        <v>1</v>
      </c>
      <c r="G65">
        <v>1</v>
      </c>
      <c r="H65">
        <v>3</v>
      </c>
      <c r="I65" t="s">
        <v>363</v>
      </c>
      <c r="J65" t="s">
        <v>364</v>
      </c>
      <c r="K65" t="s">
        <v>365</v>
      </c>
      <c r="L65">
        <v>1348</v>
      </c>
      <c r="N65">
        <v>1009</v>
      </c>
      <c r="O65" t="s">
        <v>338</v>
      </c>
      <c r="P65" t="s">
        <v>338</v>
      </c>
      <c r="Q65">
        <v>1000</v>
      </c>
      <c r="W65">
        <v>0</v>
      </c>
      <c r="X65">
        <v>161031189</v>
      </c>
      <c r="Y65">
        <f t="shared" si="16"/>
        <v>1.06E-3</v>
      </c>
      <c r="AA65">
        <v>61173.09</v>
      </c>
      <c r="AB65">
        <v>0</v>
      </c>
      <c r="AC65">
        <v>0</v>
      </c>
      <c r="AD65">
        <v>0</v>
      </c>
      <c r="AE65">
        <v>71131.5</v>
      </c>
      <c r="AF65">
        <v>0</v>
      </c>
      <c r="AG65">
        <v>0</v>
      </c>
      <c r="AH65">
        <v>0</v>
      </c>
      <c r="AI65">
        <v>0.86</v>
      </c>
      <c r="AJ65">
        <v>1</v>
      </c>
      <c r="AK65">
        <v>1</v>
      </c>
      <c r="AL65">
        <v>1</v>
      </c>
      <c r="AM65">
        <v>2</v>
      </c>
      <c r="AN65">
        <v>0</v>
      </c>
      <c r="AO65">
        <v>0</v>
      </c>
      <c r="AP65">
        <v>0</v>
      </c>
      <c r="AQ65">
        <v>1</v>
      </c>
      <c r="AR65">
        <v>0</v>
      </c>
      <c r="AS65" t="s">
        <v>3</v>
      </c>
      <c r="AT65">
        <v>1.06E-3</v>
      </c>
      <c r="AU65" t="s">
        <v>3</v>
      </c>
      <c r="AV65">
        <v>0</v>
      </c>
      <c r="AW65">
        <v>2</v>
      </c>
      <c r="AX65">
        <v>65174923</v>
      </c>
      <c r="AY65">
        <v>1</v>
      </c>
      <c r="AZ65">
        <v>0</v>
      </c>
      <c r="BA65">
        <v>66</v>
      </c>
      <c r="BB65">
        <v>1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75.399389999999997</v>
      </c>
      <c r="BK65">
        <v>0</v>
      </c>
      <c r="BL65">
        <v>0</v>
      </c>
      <c r="BM65">
        <v>0</v>
      </c>
      <c r="BN65">
        <v>0</v>
      </c>
      <c r="BO65">
        <v>0</v>
      </c>
      <c r="BP65">
        <v>1</v>
      </c>
      <c r="BQ65">
        <v>75.399389999999997</v>
      </c>
      <c r="BR65">
        <v>0</v>
      </c>
      <c r="BS65">
        <v>0</v>
      </c>
      <c r="BT65">
        <v>0</v>
      </c>
      <c r="BU65">
        <v>0</v>
      </c>
      <c r="BV65">
        <v>0</v>
      </c>
      <c r="BW65">
        <v>1</v>
      </c>
      <c r="CV65">
        <v>0</v>
      </c>
      <c r="CW65">
        <v>0</v>
      </c>
      <c r="CX65">
        <f>ROUND(Y65*Source!I145,7)</f>
        <v>1.3780000000000001E-2</v>
      </c>
      <c r="CY65">
        <f>AA65</f>
        <v>61173.09</v>
      </c>
      <c r="CZ65">
        <f>AE65</f>
        <v>71131.5</v>
      </c>
      <c r="DA65">
        <f>AI65</f>
        <v>0.86</v>
      </c>
      <c r="DB65">
        <f t="shared" si="17"/>
        <v>75.400000000000006</v>
      </c>
      <c r="DC65">
        <f t="shared" si="18"/>
        <v>0</v>
      </c>
      <c r="DD65" t="s">
        <v>3</v>
      </c>
      <c r="DE65" t="s">
        <v>3</v>
      </c>
      <c r="DF65">
        <f>ROUND(ROUND(AE65*AI65,2)*CX65,2)</f>
        <v>842.97</v>
      </c>
      <c r="DG65">
        <f t="shared" si="29"/>
        <v>0</v>
      </c>
      <c r="DH65">
        <f t="shared" ref="DH65:DH75" si="30">ROUND(ROUND(AG65,2)*CX65,2)</f>
        <v>0</v>
      </c>
      <c r="DI65">
        <f t="shared" ref="DI65:DI75" si="31">ROUND(ROUND(AH65,2)*CX65,2)</f>
        <v>0</v>
      </c>
      <c r="DJ65">
        <f>DF65</f>
        <v>842.97</v>
      </c>
      <c r="DK65">
        <v>0</v>
      </c>
      <c r="DL65" t="s">
        <v>3</v>
      </c>
      <c r="DM65">
        <v>0</v>
      </c>
      <c r="DN65" t="s">
        <v>3</v>
      </c>
      <c r="DO65">
        <v>0</v>
      </c>
    </row>
    <row r="66" spans="1:119" x14ac:dyDescent="0.2">
      <c r="A66">
        <f>ROW(Source!A145)</f>
        <v>145</v>
      </c>
      <c r="B66">
        <v>65174513</v>
      </c>
      <c r="C66">
        <v>65174917</v>
      </c>
      <c r="D66">
        <v>59017068</v>
      </c>
      <c r="E66">
        <v>1</v>
      </c>
      <c r="F66">
        <v>1</v>
      </c>
      <c r="G66">
        <v>1</v>
      </c>
      <c r="H66">
        <v>3</v>
      </c>
      <c r="I66" t="s">
        <v>339</v>
      </c>
      <c r="J66" t="s">
        <v>340</v>
      </c>
      <c r="K66" t="s">
        <v>341</v>
      </c>
      <c r="L66">
        <v>1348</v>
      </c>
      <c r="N66">
        <v>1009</v>
      </c>
      <c r="O66" t="s">
        <v>338</v>
      </c>
      <c r="P66" t="s">
        <v>338</v>
      </c>
      <c r="Q66">
        <v>1000</v>
      </c>
      <c r="W66">
        <v>0</v>
      </c>
      <c r="X66">
        <v>-522469546</v>
      </c>
      <c r="Y66">
        <f t="shared" si="16"/>
        <v>5.0899999999999999E-3</v>
      </c>
      <c r="AA66">
        <v>55303.81</v>
      </c>
      <c r="AB66">
        <v>0</v>
      </c>
      <c r="AC66">
        <v>0</v>
      </c>
      <c r="AD66">
        <v>0</v>
      </c>
      <c r="AE66">
        <v>55303.81</v>
      </c>
      <c r="AF66">
        <v>0</v>
      </c>
      <c r="AG66">
        <v>0</v>
      </c>
      <c r="AH66">
        <v>0</v>
      </c>
      <c r="AI66">
        <v>1</v>
      </c>
      <c r="AJ66">
        <v>1</v>
      </c>
      <c r="AK66">
        <v>1</v>
      </c>
      <c r="AL66">
        <v>1</v>
      </c>
      <c r="AM66">
        <v>-2</v>
      </c>
      <c r="AN66">
        <v>0</v>
      </c>
      <c r="AO66">
        <v>0</v>
      </c>
      <c r="AP66">
        <v>0</v>
      </c>
      <c r="AQ66">
        <v>1</v>
      </c>
      <c r="AR66">
        <v>0</v>
      </c>
      <c r="AS66" t="s">
        <v>3</v>
      </c>
      <c r="AT66">
        <v>5.0899999999999999E-3</v>
      </c>
      <c r="AU66" t="s">
        <v>3</v>
      </c>
      <c r="AV66">
        <v>0</v>
      </c>
      <c r="AW66">
        <v>2</v>
      </c>
      <c r="AX66">
        <v>65174924</v>
      </c>
      <c r="AY66">
        <v>1</v>
      </c>
      <c r="AZ66">
        <v>0</v>
      </c>
      <c r="BA66">
        <v>67</v>
      </c>
      <c r="BB66">
        <v>1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0</v>
      </c>
      <c r="BI66">
        <v>0</v>
      </c>
      <c r="BJ66">
        <v>281.49639289999999</v>
      </c>
      <c r="BK66">
        <v>0</v>
      </c>
      <c r="BL66">
        <v>0</v>
      </c>
      <c r="BM66">
        <v>0</v>
      </c>
      <c r="BN66">
        <v>0</v>
      </c>
      <c r="BO66">
        <v>0</v>
      </c>
      <c r="BP66">
        <v>1</v>
      </c>
      <c r="BQ66">
        <v>281.49639289999999</v>
      </c>
      <c r="BR66">
        <v>0</v>
      </c>
      <c r="BS66">
        <v>0</v>
      </c>
      <c r="BT66">
        <v>0</v>
      </c>
      <c r="BU66">
        <v>0</v>
      </c>
      <c r="BV66">
        <v>0</v>
      </c>
      <c r="BW66">
        <v>1</v>
      </c>
      <c r="CV66">
        <v>0</v>
      </c>
      <c r="CW66">
        <v>0</v>
      </c>
      <c r="CX66">
        <f>ROUND(Y66*Source!I145,7)</f>
        <v>6.6170000000000007E-2</v>
      </c>
      <c r="CY66">
        <f>AA66</f>
        <v>55303.81</v>
      </c>
      <c r="CZ66">
        <f>AE66</f>
        <v>55303.81</v>
      </c>
      <c r="DA66">
        <f>AI66</f>
        <v>1</v>
      </c>
      <c r="DB66">
        <f t="shared" si="17"/>
        <v>281.5</v>
      </c>
      <c r="DC66">
        <f t="shared" si="18"/>
        <v>0</v>
      </c>
      <c r="DD66" t="s">
        <v>3</v>
      </c>
      <c r="DE66" t="s">
        <v>3</v>
      </c>
      <c r="DF66">
        <f>ROUND(ROUND(AE66,2)*CX66,2)</f>
        <v>3659.45</v>
      </c>
      <c r="DG66">
        <f t="shared" si="29"/>
        <v>0</v>
      </c>
      <c r="DH66">
        <f t="shared" si="30"/>
        <v>0</v>
      </c>
      <c r="DI66">
        <f t="shared" si="31"/>
        <v>0</v>
      </c>
      <c r="DJ66">
        <f>DF66</f>
        <v>3659.45</v>
      </c>
      <c r="DK66">
        <v>1</v>
      </c>
      <c r="DL66" t="s">
        <v>3</v>
      </c>
      <c r="DM66">
        <v>0</v>
      </c>
      <c r="DN66" t="s">
        <v>3</v>
      </c>
      <c r="DO66">
        <v>0</v>
      </c>
    </row>
    <row r="67" spans="1:119" x14ac:dyDescent="0.2">
      <c r="A67">
        <f>ROW(Source!A145)</f>
        <v>145</v>
      </c>
      <c r="B67">
        <v>65174513</v>
      </c>
      <c r="C67">
        <v>65174917</v>
      </c>
      <c r="D67">
        <v>59026348</v>
      </c>
      <c r="E67">
        <v>1</v>
      </c>
      <c r="F67">
        <v>1</v>
      </c>
      <c r="G67">
        <v>1</v>
      </c>
      <c r="H67">
        <v>3</v>
      </c>
      <c r="I67" t="s">
        <v>366</v>
      </c>
      <c r="J67" t="s">
        <v>367</v>
      </c>
      <c r="K67" t="s">
        <v>368</v>
      </c>
      <c r="L67">
        <v>1348</v>
      </c>
      <c r="N67">
        <v>1009</v>
      </c>
      <c r="O67" t="s">
        <v>338</v>
      </c>
      <c r="P67" t="s">
        <v>338</v>
      </c>
      <c r="Q67">
        <v>1000</v>
      </c>
      <c r="W67">
        <v>0</v>
      </c>
      <c r="X67">
        <v>-286666162</v>
      </c>
      <c r="Y67">
        <f t="shared" si="16"/>
        <v>2.0000000000000001E-4</v>
      </c>
      <c r="AA67">
        <v>615849.75</v>
      </c>
      <c r="AB67">
        <v>0</v>
      </c>
      <c r="AC67">
        <v>0</v>
      </c>
      <c r="AD67">
        <v>0</v>
      </c>
      <c r="AE67">
        <v>360146.05</v>
      </c>
      <c r="AF67">
        <v>0</v>
      </c>
      <c r="AG67">
        <v>0</v>
      </c>
      <c r="AH67">
        <v>0</v>
      </c>
      <c r="AI67">
        <v>1.71</v>
      </c>
      <c r="AJ67">
        <v>1</v>
      </c>
      <c r="AK67">
        <v>1</v>
      </c>
      <c r="AL67">
        <v>1</v>
      </c>
      <c r="AM67">
        <v>2</v>
      </c>
      <c r="AN67">
        <v>0</v>
      </c>
      <c r="AO67">
        <v>0</v>
      </c>
      <c r="AP67">
        <v>0</v>
      </c>
      <c r="AQ67">
        <v>1</v>
      </c>
      <c r="AR67">
        <v>0</v>
      </c>
      <c r="AS67" t="s">
        <v>3</v>
      </c>
      <c r="AT67">
        <v>2.0000000000000001E-4</v>
      </c>
      <c r="AU67" t="s">
        <v>3</v>
      </c>
      <c r="AV67">
        <v>0</v>
      </c>
      <c r="AW67">
        <v>2</v>
      </c>
      <c r="AX67">
        <v>65174925</v>
      </c>
      <c r="AY67">
        <v>1</v>
      </c>
      <c r="AZ67">
        <v>0</v>
      </c>
      <c r="BA67">
        <v>68</v>
      </c>
      <c r="BB67">
        <v>1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0</v>
      </c>
      <c r="BI67">
        <v>0</v>
      </c>
      <c r="BJ67">
        <v>72.029210000000006</v>
      </c>
      <c r="BK67">
        <v>0</v>
      </c>
      <c r="BL67">
        <v>0</v>
      </c>
      <c r="BM67">
        <v>0</v>
      </c>
      <c r="BN67">
        <v>0</v>
      </c>
      <c r="BO67">
        <v>0</v>
      </c>
      <c r="BP67">
        <v>1</v>
      </c>
      <c r="BQ67">
        <v>72.029210000000006</v>
      </c>
      <c r="BR67">
        <v>0</v>
      </c>
      <c r="BS67">
        <v>0</v>
      </c>
      <c r="BT67">
        <v>0</v>
      </c>
      <c r="BU67">
        <v>0</v>
      </c>
      <c r="BV67">
        <v>0</v>
      </c>
      <c r="BW67">
        <v>1</v>
      </c>
      <c r="CV67">
        <v>0</v>
      </c>
      <c r="CW67">
        <v>0</v>
      </c>
      <c r="CX67">
        <f>ROUND(Y67*Source!I145,7)</f>
        <v>2.5999999999999999E-3</v>
      </c>
      <c r="CY67">
        <f>AA67</f>
        <v>615849.75</v>
      </c>
      <c r="CZ67">
        <f>AE67</f>
        <v>360146.05</v>
      </c>
      <c r="DA67">
        <f>AI67</f>
        <v>1.71</v>
      </c>
      <c r="DB67">
        <f t="shared" si="17"/>
        <v>72.03</v>
      </c>
      <c r="DC67">
        <f t="shared" si="18"/>
        <v>0</v>
      </c>
      <c r="DD67" t="s">
        <v>3</v>
      </c>
      <c r="DE67" t="s">
        <v>3</v>
      </c>
      <c r="DF67">
        <f>ROUND(ROUND(AE67*AI67,2)*CX67,2)</f>
        <v>1601.21</v>
      </c>
      <c r="DG67">
        <f t="shared" si="29"/>
        <v>0</v>
      </c>
      <c r="DH67">
        <f t="shared" si="30"/>
        <v>0</v>
      </c>
      <c r="DI67">
        <f t="shared" si="31"/>
        <v>0</v>
      </c>
      <c r="DJ67">
        <f>DF67</f>
        <v>1601.21</v>
      </c>
      <c r="DK67">
        <v>0</v>
      </c>
      <c r="DL67" t="s">
        <v>3</v>
      </c>
      <c r="DM67">
        <v>0</v>
      </c>
      <c r="DN67" t="s">
        <v>3</v>
      </c>
      <c r="DO67">
        <v>0</v>
      </c>
    </row>
    <row r="68" spans="1:119" x14ac:dyDescent="0.2">
      <c r="A68">
        <f>ROW(Source!A221)</f>
        <v>221</v>
      </c>
      <c r="B68">
        <v>65174513</v>
      </c>
      <c r="C68">
        <v>65175046</v>
      </c>
      <c r="D68">
        <v>58933407</v>
      </c>
      <c r="E68">
        <v>109</v>
      </c>
      <c r="F68">
        <v>1</v>
      </c>
      <c r="G68">
        <v>1</v>
      </c>
      <c r="H68">
        <v>1</v>
      </c>
      <c r="I68" t="s">
        <v>369</v>
      </c>
      <c r="J68" t="s">
        <v>3</v>
      </c>
      <c r="K68" t="s">
        <v>370</v>
      </c>
      <c r="L68">
        <v>1369</v>
      </c>
      <c r="N68">
        <v>1013</v>
      </c>
      <c r="O68" t="s">
        <v>303</v>
      </c>
      <c r="P68" t="s">
        <v>303</v>
      </c>
      <c r="Q68">
        <v>1</v>
      </c>
      <c r="W68">
        <v>0</v>
      </c>
      <c r="X68">
        <v>286205319</v>
      </c>
      <c r="Y68">
        <f t="shared" si="16"/>
        <v>0.81</v>
      </c>
      <c r="AA68">
        <v>0</v>
      </c>
      <c r="AB68">
        <v>0</v>
      </c>
      <c r="AC68">
        <v>0</v>
      </c>
      <c r="AD68">
        <v>658.94</v>
      </c>
      <c r="AE68">
        <v>0</v>
      </c>
      <c r="AF68">
        <v>0</v>
      </c>
      <c r="AG68">
        <v>0</v>
      </c>
      <c r="AH68">
        <v>658.94</v>
      </c>
      <c r="AI68">
        <v>1</v>
      </c>
      <c r="AJ68">
        <v>1</v>
      </c>
      <c r="AK68">
        <v>1</v>
      </c>
      <c r="AL68">
        <v>1</v>
      </c>
      <c r="AM68">
        <v>-2</v>
      </c>
      <c r="AN68">
        <v>0</v>
      </c>
      <c r="AO68">
        <v>0</v>
      </c>
      <c r="AP68">
        <v>1</v>
      </c>
      <c r="AQ68">
        <v>1</v>
      </c>
      <c r="AR68">
        <v>0</v>
      </c>
      <c r="AS68" t="s">
        <v>3</v>
      </c>
      <c r="AT68">
        <v>0.81</v>
      </c>
      <c r="AU68" t="s">
        <v>3</v>
      </c>
      <c r="AV68">
        <v>1</v>
      </c>
      <c r="AW68">
        <v>2</v>
      </c>
      <c r="AX68">
        <v>65175049</v>
      </c>
      <c r="AY68">
        <v>1</v>
      </c>
      <c r="AZ68">
        <v>0</v>
      </c>
      <c r="BA68">
        <v>70</v>
      </c>
      <c r="BB68">
        <v>1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0</v>
      </c>
      <c r="BI68">
        <v>0</v>
      </c>
      <c r="BJ68">
        <v>0</v>
      </c>
      <c r="BK68">
        <v>0</v>
      </c>
      <c r="BL68">
        <v>0</v>
      </c>
      <c r="BM68">
        <v>533.74140000000011</v>
      </c>
      <c r="BN68">
        <v>0.81</v>
      </c>
      <c r="BO68">
        <v>0</v>
      </c>
      <c r="BP68">
        <v>1</v>
      </c>
      <c r="BQ68">
        <v>0</v>
      </c>
      <c r="BR68">
        <v>0</v>
      </c>
      <c r="BS68">
        <v>0</v>
      </c>
      <c r="BT68">
        <v>533.74140000000011</v>
      </c>
      <c r="BU68">
        <v>0.81</v>
      </c>
      <c r="BV68">
        <v>0</v>
      </c>
      <c r="BW68">
        <v>1</v>
      </c>
      <c r="CU68">
        <f>ROUND(AT68*Source!I221*AH68*AL68,2)</f>
        <v>3202.45</v>
      </c>
      <c r="CV68">
        <f>ROUND(Y68*Source!I221,7)</f>
        <v>4.8600000000000003</v>
      </c>
      <c r="CW68">
        <v>0</v>
      </c>
      <c r="CX68">
        <f>ROUND(Y68*Source!I221,7)</f>
        <v>4.8600000000000003</v>
      </c>
      <c r="CY68">
        <f t="shared" ref="CY68:CY75" si="32">AD68</f>
        <v>658.94</v>
      </c>
      <c r="CZ68">
        <f t="shared" ref="CZ68:CZ75" si="33">AH68</f>
        <v>658.94</v>
      </c>
      <c r="DA68">
        <f t="shared" ref="DA68:DA75" si="34">AL68</f>
        <v>1</v>
      </c>
      <c r="DB68">
        <f t="shared" si="17"/>
        <v>533.74</v>
      </c>
      <c r="DC68">
        <f t="shared" si="18"/>
        <v>0</v>
      </c>
      <c r="DD68" t="s">
        <v>3</v>
      </c>
      <c r="DE68" t="s">
        <v>3</v>
      </c>
      <c r="DF68">
        <f t="shared" ref="DF68:DF75" si="35">ROUND(ROUND(AE68,2)*CX68,2)</f>
        <v>0</v>
      </c>
      <c r="DG68">
        <f t="shared" si="29"/>
        <v>0</v>
      </c>
      <c r="DH68">
        <f t="shared" si="30"/>
        <v>0</v>
      </c>
      <c r="DI68">
        <f t="shared" si="31"/>
        <v>3202.45</v>
      </c>
      <c r="DJ68">
        <f t="shared" ref="DJ68:DJ75" si="36">DI68</f>
        <v>3202.45</v>
      </c>
      <c r="DK68">
        <v>1</v>
      </c>
      <c r="DL68" t="s">
        <v>3</v>
      </c>
      <c r="DM68">
        <v>0</v>
      </c>
      <c r="DN68" t="s">
        <v>3</v>
      </c>
      <c r="DO68">
        <v>0</v>
      </c>
    </row>
    <row r="69" spans="1:119" x14ac:dyDescent="0.2">
      <c r="A69">
        <f>ROW(Source!A221)</f>
        <v>221</v>
      </c>
      <c r="B69">
        <v>65174513</v>
      </c>
      <c r="C69">
        <v>65175046</v>
      </c>
      <c r="D69">
        <v>58933427</v>
      </c>
      <c r="E69">
        <v>109</v>
      </c>
      <c r="F69">
        <v>1</v>
      </c>
      <c r="G69">
        <v>1</v>
      </c>
      <c r="H69">
        <v>1</v>
      </c>
      <c r="I69" t="s">
        <v>371</v>
      </c>
      <c r="J69" t="s">
        <v>3</v>
      </c>
      <c r="K69" t="s">
        <v>372</v>
      </c>
      <c r="L69">
        <v>1369</v>
      </c>
      <c r="N69">
        <v>1013</v>
      </c>
      <c r="O69" t="s">
        <v>303</v>
      </c>
      <c r="P69" t="s">
        <v>303</v>
      </c>
      <c r="Q69">
        <v>1</v>
      </c>
      <c r="W69">
        <v>0</v>
      </c>
      <c r="X69">
        <v>126826561</v>
      </c>
      <c r="Y69">
        <f t="shared" si="16"/>
        <v>0.81</v>
      </c>
      <c r="AA69">
        <v>0</v>
      </c>
      <c r="AB69">
        <v>0</v>
      </c>
      <c r="AC69">
        <v>0</v>
      </c>
      <c r="AD69">
        <v>644.29999999999995</v>
      </c>
      <c r="AE69">
        <v>0</v>
      </c>
      <c r="AF69">
        <v>0</v>
      </c>
      <c r="AG69">
        <v>0</v>
      </c>
      <c r="AH69">
        <v>644.29999999999995</v>
      </c>
      <c r="AI69">
        <v>1</v>
      </c>
      <c r="AJ69">
        <v>1</v>
      </c>
      <c r="AK69">
        <v>1</v>
      </c>
      <c r="AL69">
        <v>1</v>
      </c>
      <c r="AM69">
        <v>-2</v>
      </c>
      <c r="AN69">
        <v>0</v>
      </c>
      <c r="AO69">
        <v>0</v>
      </c>
      <c r="AP69">
        <v>1</v>
      </c>
      <c r="AQ69">
        <v>1</v>
      </c>
      <c r="AR69">
        <v>0</v>
      </c>
      <c r="AS69" t="s">
        <v>3</v>
      </c>
      <c r="AT69">
        <v>0.81</v>
      </c>
      <c r="AU69" t="s">
        <v>3</v>
      </c>
      <c r="AV69">
        <v>1</v>
      </c>
      <c r="AW69">
        <v>2</v>
      </c>
      <c r="AX69">
        <v>65175050</v>
      </c>
      <c r="AY69">
        <v>1</v>
      </c>
      <c r="AZ69">
        <v>0</v>
      </c>
      <c r="BA69">
        <v>71</v>
      </c>
      <c r="BB69">
        <v>1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521.88300000000004</v>
      </c>
      <c r="BN69">
        <v>0.81</v>
      </c>
      <c r="BO69">
        <v>0</v>
      </c>
      <c r="BP69">
        <v>1</v>
      </c>
      <c r="BQ69">
        <v>0</v>
      </c>
      <c r="BR69">
        <v>0</v>
      </c>
      <c r="BS69">
        <v>0</v>
      </c>
      <c r="BT69">
        <v>521.88300000000004</v>
      </c>
      <c r="BU69">
        <v>0.81</v>
      </c>
      <c r="BV69">
        <v>0</v>
      </c>
      <c r="BW69">
        <v>1</v>
      </c>
      <c r="CU69">
        <f>ROUND(AT69*Source!I221*AH69*AL69,2)</f>
        <v>3131.3</v>
      </c>
      <c r="CV69">
        <f>ROUND(Y69*Source!I221,7)</f>
        <v>4.8600000000000003</v>
      </c>
      <c r="CW69">
        <v>0</v>
      </c>
      <c r="CX69">
        <f>ROUND(Y69*Source!I221,7)</f>
        <v>4.8600000000000003</v>
      </c>
      <c r="CY69">
        <f t="shared" si="32"/>
        <v>644.29999999999995</v>
      </c>
      <c r="CZ69">
        <f t="shared" si="33"/>
        <v>644.29999999999995</v>
      </c>
      <c r="DA69">
        <f t="shared" si="34"/>
        <v>1</v>
      </c>
      <c r="DB69">
        <f t="shared" si="17"/>
        <v>521.88</v>
      </c>
      <c r="DC69">
        <f t="shared" si="18"/>
        <v>0</v>
      </c>
      <c r="DD69" t="s">
        <v>3</v>
      </c>
      <c r="DE69" t="s">
        <v>3</v>
      </c>
      <c r="DF69">
        <f t="shared" si="35"/>
        <v>0</v>
      </c>
      <c r="DG69">
        <f t="shared" si="29"/>
        <v>0</v>
      </c>
      <c r="DH69">
        <f t="shared" si="30"/>
        <v>0</v>
      </c>
      <c r="DI69">
        <f t="shared" si="31"/>
        <v>3131.3</v>
      </c>
      <c r="DJ69">
        <f t="shared" si="36"/>
        <v>3131.3</v>
      </c>
      <c r="DK69">
        <v>1</v>
      </c>
      <c r="DL69" t="s">
        <v>3</v>
      </c>
      <c r="DM69">
        <v>0</v>
      </c>
      <c r="DN69" t="s">
        <v>3</v>
      </c>
      <c r="DO69">
        <v>0</v>
      </c>
    </row>
    <row r="70" spans="1:119" x14ac:dyDescent="0.2">
      <c r="A70">
        <f>ROW(Source!A222)</f>
        <v>222</v>
      </c>
      <c r="B70">
        <v>65174513</v>
      </c>
      <c r="C70">
        <v>65175051</v>
      </c>
      <c r="D70">
        <v>58933407</v>
      </c>
      <c r="E70">
        <v>109</v>
      </c>
      <c r="F70">
        <v>1</v>
      </c>
      <c r="G70">
        <v>1</v>
      </c>
      <c r="H70">
        <v>1</v>
      </c>
      <c r="I70" t="s">
        <v>369</v>
      </c>
      <c r="J70" t="s">
        <v>3</v>
      </c>
      <c r="K70" t="s">
        <v>370</v>
      </c>
      <c r="L70">
        <v>1369</v>
      </c>
      <c r="N70">
        <v>1013</v>
      </c>
      <c r="O70" t="s">
        <v>303</v>
      </c>
      <c r="P70" t="s">
        <v>303</v>
      </c>
      <c r="Q70">
        <v>1</v>
      </c>
      <c r="W70">
        <v>0</v>
      </c>
      <c r="X70">
        <v>286205319</v>
      </c>
      <c r="Y70">
        <f t="shared" si="16"/>
        <v>0.16</v>
      </c>
      <c r="AA70">
        <v>0</v>
      </c>
      <c r="AB70">
        <v>0</v>
      </c>
      <c r="AC70">
        <v>0</v>
      </c>
      <c r="AD70">
        <v>658.94</v>
      </c>
      <c r="AE70">
        <v>0</v>
      </c>
      <c r="AF70">
        <v>0</v>
      </c>
      <c r="AG70">
        <v>0</v>
      </c>
      <c r="AH70">
        <v>658.94</v>
      </c>
      <c r="AI70">
        <v>1</v>
      </c>
      <c r="AJ70">
        <v>1</v>
      </c>
      <c r="AK70">
        <v>1</v>
      </c>
      <c r="AL70">
        <v>1</v>
      </c>
      <c r="AM70">
        <v>-2</v>
      </c>
      <c r="AN70">
        <v>0</v>
      </c>
      <c r="AO70">
        <v>0</v>
      </c>
      <c r="AP70">
        <v>1</v>
      </c>
      <c r="AQ70">
        <v>1</v>
      </c>
      <c r="AR70">
        <v>0</v>
      </c>
      <c r="AS70" t="s">
        <v>3</v>
      </c>
      <c r="AT70">
        <v>0.16</v>
      </c>
      <c r="AU70" t="s">
        <v>3</v>
      </c>
      <c r="AV70">
        <v>1</v>
      </c>
      <c r="AW70">
        <v>2</v>
      </c>
      <c r="AX70">
        <v>65175054</v>
      </c>
      <c r="AY70">
        <v>1</v>
      </c>
      <c r="AZ70">
        <v>0</v>
      </c>
      <c r="BA70">
        <v>72</v>
      </c>
      <c r="BB70">
        <v>1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105.43040000000001</v>
      </c>
      <c r="BN70">
        <v>0.16</v>
      </c>
      <c r="BO70">
        <v>0</v>
      </c>
      <c r="BP70">
        <v>1</v>
      </c>
      <c r="BQ70">
        <v>0</v>
      </c>
      <c r="BR70">
        <v>0</v>
      </c>
      <c r="BS70">
        <v>0</v>
      </c>
      <c r="BT70">
        <v>105.43040000000001</v>
      </c>
      <c r="BU70">
        <v>0.16</v>
      </c>
      <c r="BV70">
        <v>0</v>
      </c>
      <c r="BW70">
        <v>1</v>
      </c>
      <c r="CU70">
        <f>ROUND(AT70*Source!I222*AH70*AL70,2)</f>
        <v>632.58000000000004</v>
      </c>
      <c r="CV70">
        <f>ROUND(Y70*Source!I222,7)</f>
        <v>0.96</v>
      </c>
      <c r="CW70">
        <v>0</v>
      </c>
      <c r="CX70">
        <f>ROUND(Y70*Source!I222,7)</f>
        <v>0.96</v>
      </c>
      <c r="CY70">
        <f t="shared" si="32"/>
        <v>658.94</v>
      </c>
      <c r="CZ70">
        <f t="shared" si="33"/>
        <v>658.94</v>
      </c>
      <c r="DA70">
        <f t="shared" si="34"/>
        <v>1</v>
      </c>
      <c r="DB70">
        <f t="shared" si="17"/>
        <v>105.43</v>
      </c>
      <c r="DC70">
        <f t="shared" si="18"/>
        <v>0</v>
      </c>
      <c r="DD70" t="s">
        <v>3</v>
      </c>
      <c r="DE70" t="s">
        <v>3</v>
      </c>
      <c r="DF70">
        <f t="shared" si="35"/>
        <v>0</v>
      </c>
      <c r="DG70">
        <f t="shared" si="29"/>
        <v>0</v>
      </c>
      <c r="DH70">
        <f t="shared" si="30"/>
        <v>0</v>
      </c>
      <c r="DI70">
        <f t="shared" si="31"/>
        <v>632.58000000000004</v>
      </c>
      <c r="DJ70">
        <f t="shared" si="36"/>
        <v>632.58000000000004</v>
      </c>
      <c r="DK70">
        <v>1</v>
      </c>
      <c r="DL70" t="s">
        <v>3</v>
      </c>
      <c r="DM70">
        <v>0</v>
      </c>
      <c r="DN70" t="s">
        <v>3</v>
      </c>
      <c r="DO70">
        <v>0</v>
      </c>
    </row>
    <row r="71" spans="1:119" x14ac:dyDescent="0.2">
      <c r="A71">
        <f>ROW(Source!A222)</f>
        <v>222</v>
      </c>
      <c r="B71">
        <v>65174513</v>
      </c>
      <c r="C71">
        <v>65175051</v>
      </c>
      <c r="D71">
        <v>58933427</v>
      </c>
      <c r="E71">
        <v>109</v>
      </c>
      <c r="F71">
        <v>1</v>
      </c>
      <c r="G71">
        <v>1</v>
      </c>
      <c r="H71">
        <v>1</v>
      </c>
      <c r="I71" t="s">
        <v>371</v>
      </c>
      <c r="J71" t="s">
        <v>3</v>
      </c>
      <c r="K71" t="s">
        <v>372</v>
      </c>
      <c r="L71">
        <v>1369</v>
      </c>
      <c r="N71">
        <v>1013</v>
      </c>
      <c r="O71" t="s">
        <v>303</v>
      </c>
      <c r="P71" t="s">
        <v>303</v>
      </c>
      <c r="Q71">
        <v>1</v>
      </c>
      <c r="W71">
        <v>0</v>
      </c>
      <c r="X71">
        <v>126826561</v>
      </c>
      <c r="Y71">
        <f t="shared" si="16"/>
        <v>0.16</v>
      </c>
      <c r="AA71">
        <v>0</v>
      </c>
      <c r="AB71">
        <v>0</v>
      </c>
      <c r="AC71">
        <v>0</v>
      </c>
      <c r="AD71">
        <v>644.29999999999995</v>
      </c>
      <c r="AE71">
        <v>0</v>
      </c>
      <c r="AF71">
        <v>0</v>
      </c>
      <c r="AG71">
        <v>0</v>
      </c>
      <c r="AH71">
        <v>644.29999999999995</v>
      </c>
      <c r="AI71">
        <v>1</v>
      </c>
      <c r="AJ71">
        <v>1</v>
      </c>
      <c r="AK71">
        <v>1</v>
      </c>
      <c r="AL71">
        <v>1</v>
      </c>
      <c r="AM71">
        <v>-2</v>
      </c>
      <c r="AN71">
        <v>0</v>
      </c>
      <c r="AO71">
        <v>0</v>
      </c>
      <c r="AP71">
        <v>1</v>
      </c>
      <c r="AQ71">
        <v>1</v>
      </c>
      <c r="AR71">
        <v>0</v>
      </c>
      <c r="AS71" t="s">
        <v>3</v>
      </c>
      <c r="AT71">
        <v>0.16</v>
      </c>
      <c r="AU71" t="s">
        <v>3</v>
      </c>
      <c r="AV71">
        <v>1</v>
      </c>
      <c r="AW71">
        <v>2</v>
      </c>
      <c r="AX71">
        <v>65175055</v>
      </c>
      <c r="AY71">
        <v>1</v>
      </c>
      <c r="AZ71">
        <v>0</v>
      </c>
      <c r="BA71">
        <v>73</v>
      </c>
      <c r="BB71">
        <v>1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0</v>
      </c>
      <c r="BI71">
        <v>0</v>
      </c>
      <c r="BJ71">
        <v>0</v>
      </c>
      <c r="BK71">
        <v>0</v>
      </c>
      <c r="BL71">
        <v>0</v>
      </c>
      <c r="BM71">
        <v>103.08799999999999</v>
      </c>
      <c r="BN71">
        <v>0.16</v>
      </c>
      <c r="BO71">
        <v>0</v>
      </c>
      <c r="BP71">
        <v>1</v>
      </c>
      <c r="BQ71">
        <v>0</v>
      </c>
      <c r="BR71">
        <v>0</v>
      </c>
      <c r="BS71">
        <v>0</v>
      </c>
      <c r="BT71">
        <v>103.08799999999999</v>
      </c>
      <c r="BU71">
        <v>0.16</v>
      </c>
      <c r="BV71">
        <v>0</v>
      </c>
      <c r="BW71">
        <v>1</v>
      </c>
      <c r="CU71">
        <f>ROUND(AT71*Source!I222*AH71*AL71,2)</f>
        <v>618.53</v>
      </c>
      <c r="CV71">
        <f>ROUND(Y71*Source!I222,7)</f>
        <v>0.96</v>
      </c>
      <c r="CW71">
        <v>0</v>
      </c>
      <c r="CX71">
        <f>ROUND(Y71*Source!I222,7)</f>
        <v>0.96</v>
      </c>
      <c r="CY71">
        <f t="shared" si="32"/>
        <v>644.29999999999995</v>
      </c>
      <c r="CZ71">
        <f t="shared" si="33"/>
        <v>644.29999999999995</v>
      </c>
      <c r="DA71">
        <f t="shared" si="34"/>
        <v>1</v>
      </c>
      <c r="DB71">
        <f t="shared" si="17"/>
        <v>103.09</v>
      </c>
      <c r="DC71">
        <f t="shared" si="18"/>
        <v>0</v>
      </c>
      <c r="DD71" t="s">
        <v>3</v>
      </c>
      <c r="DE71" t="s">
        <v>3</v>
      </c>
      <c r="DF71">
        <f t="shared" si="35"/>
        <v>0</v>
      </c>
      <c r="DG71">
        <f t="shared" si="29"/>
        <v>0</v>
      </c>
      <c r="DH71">
        <f t="shared" si="30"/>
        <v>0</v>
      </c>
      <c r="DI71">
        <f t="shared" si="31"/>
        <v>618.53</v>
      </c>
      <c r="DJ71">
        <f t="shared" si="36"/>
        <v>618.53</v>
      </c>
      <c r="DK71">
        <v>1</v>
      </c>
      <c r="DL71" t="s">
        <v>3</v>
      </c>
      <c r="DM71">
        <v>0</v>
      </c>
      <c r="DN71" t="s">
        <v>3</v>
      </c>
      <c r="DO71">
        <v>0</v>
      </c>
    </row>
    <row r="72" spans="1:119" x14ac:dyDescent="0.2">
      <c r="A72">
        <f>ROW(Source!A223)</f>
        <v>223</v>
      </c>
      <c r="B72">
        <v>65174513</v>
      </c>
      <c r="C72">
        <v>65175056</v>
      </c>
      <c r="D72">
        <v>58933400</v>
      </c>
      <c r="E72">
        <v>109</v>
      </c>
      <c r="F72">
        <v>1</v>
      </c>
      <c r="G72">
        <v>1</v>
      </c>
      <c r="H72">
        <v>1</v>
      </c>
      <c r="I72" t="s">
        <v>373</v>
      </c>
      <c r="J72" t="s">
        <v>3</v>
      </c>
      <c r="K72" t="s">
        <v>374</v>
      </c>
      <c r="L72">
        <v>1369</v>
      </c>
      <c r="N72">
        <v>1013</v>
      </c>
      <c r="O72" t="s">
        <v>303</v>
      </c>
      <c r="P72" t="s">
        <v>303</v>
      </c>
      <c r="Q72">
        <v>1</v>
      </c>
      <c r="W72">
        <v>0</v>
      </c>
      <c r="X72">
        <v>-512803540</v>
      </c>
      <c r="Y72">
        <f t="shared" si="16"/>
        <v>1.94</v>
      </c>
      <c r="AA72">
        <v>0</v>
      </c>
      <c r="AB72">
        <v>0</v>
      </c>
      <c r="AC72">
        <v>0</v>
      </c>
      <c r="AD72">
        <v>490.55</v>
      </c>
      <c r="AE72">
        <v>0</v>
      </c>
      <c r="AF72">
        <v>0</v>
      </c>
      <c r="AG72">
        <v>0</v>
      </c>
      <c r="AH72">
        <v>490.55</v>
      </c>
      <c r="AI72">
        <v>1</v>
      </c>
      <c r="AJ72">
        <v>1</v>
      </c>
      <c r="AK72">
        <v>1</v>
      </c>
      <c r="AL72">
        <v>1</v>
      </c>
      <c r="AM72">
        <v>-2</v>
      </c>
      <c r="AN72">
        <v>0</v>
      </c>
      <c r="AO72">
        <v>0</v>
      </c>
      <c r="AP72">
        <v>1</v>
      </c>
      <c r="AQ72">
        <v>1</v>
      </c>
      <c r="AR72">
        <v>0</v>
      </c>
      <c r="AS72" t="s">
        <v>3</v>
      </c>
      <c r="AT72">
        <v>1.94</v>
      </c>
      <c r="AU72" t="s">
        <v>3</v>
      </c>
      <c r="AV72">
        <v>1</v>
      </c>
      <c r="AW72">
        <v>2</v>
      </c>
      <c r="AX72">
        <v>65175059</v>
      </c>
      <c r="AY72">
        <v>1</v>
      </c>
      <c r="AZ72">
        <v>0</v>
      </c>
      <c r="BA72">
        <v>74</v>
      </c>
      <c r="BB72">
        <v>1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0</v>
      </c>
      <c r="BI72">
        <v>0</v>
      </c>
      <c r="BJ72">
        <v>0</v>
      </c>
      <c r="BK72">
        <v>0</v>
      </c>
      <c r="BL72">
        <v>0</v>
      </c>
      <c r="BM72">
        <v>951.66700000000003</v>
      </c>
      <c r="BN72">
        <v>1.94</v>
      </c>
      <c r="BO72">
        <v>0</v>
      </c>
      <c r="BP72">
        <v>1</v>
      </c>
      <c r="BQ72">
        <v>0</v>
      </c>
      <c r="BR72">
        <v>0</v>
      </c>
      <c r="BS72">
        <v>0</v>
      </c>
      <c r="BT72">
        <v>951.66700000000003</v>
      </c>
      <c r="BU72">
        <v>1.94</v>
      </c>
      <c r="BV72">
        <v>0</v>
      </c>
      <c r="BW72">
        <v>1</v>
      </c>
      <c r="CU72">
        <f>ROUND(AT72*Source!I223*AH72*AL72,2)</f>
        <v>1903.33</v>
      </c>
      <c r="CV72">
        <f>ROUND(Y72*Source!I223,7)</f>
        <v>3.88</v>
      </c>
      <c r="CW72">
        <v>0</v>
      </c>
      <c r="CX72">
        <f>ROUND(Y72*Source!I223,7)</f>
        <v>3.88</v>
      </c>
      <c r="CY72">
        <f t="shared" si="32"/>
        <v>490.55</v>
      </c>
      <c r="CZ72">
        <f t="shared" si="33"/>
        <v>490.55</v>
      </c>
      <c r="DA72">
        <f t="shared" si="34"/>
        <v>1</v>
      </c>
      <c r="DB72">
        <f t="shared" si="17"/>
        <v>951.67</v>
      </c>
      <c r="DC72">
        <f t="shared" si="18"/>
        <v>0</v>
      </c>
      <c r="DD72" t="s">
        <v>3</v>
      </c>
      <c r="DE72" t="s">
        <v>3</v>
      </c>
      <c r="DF72">
        <f t="shared" si="35"/>
        <v>0</v>
      </c>
      <c r="DG72">
        <f t="shared" si="29"/>
        <v>0</v>
      </c>
      <c r="DH72">
        <f t="shared" si="30"/>
        <v>0</v>
      </c>
      <c r="DI72">
        <f t="shared" si="31"/>
        <v>1903.33</v>
      </c>
      <c r="DJ72">
        <f t="shared" si="36"/>
        <v>1903.33</v>
      </c>
      <c r="DK72">
        <v>1</v>
      </c>
      <c r="DL72" t="s">
        <v>3</v>
      </c>
      <c r="DM72">
        <v>0</v>
      </c>
      <c r="DN72" t="s">
        <v>3</v>
      </c>
      <c r="DO72">
        <v>0</v>
      </c>
    </row>
    <row r="73" spans="1:119" x14ac:dyDescent="0.2">
      <c r="A73">
        <f>ROW(Source!A223)</f>
        <v>223</v>
      </c>
      <c r="B73">
        <v>65174513</v>
      </c>
      <c r="C73">
        <v>65175056</v>
      </c>
      <c r="D73">
        <v>58933427</v>
      </c>
      <c r="E73">
        <v>109</v>
      </c>
      <c r="F73">
        <v>1</v>
      </c>
      <c r="G73">
        <v>1</v>
      </c>
      <c r="H73">
        <v>1</v>
      </c>
      <c r="I73" t="s">
        <v>371</v>
      </c>
      <c r="J73" t="s">
        <v>3</v>
      </c>
      <c r="K73" t="s">
        <v>372</v>
      </c>
      <c r="L73">
        <v>1369</v>
      </c>
      <c r="N73">
        <v>1013</v>
      </c>
      <c r="O73" t="s">
        <v>303</v>
      </c>
      <c r="P73" t="s">
        <v>303</v>
      </c>
      <c r="Q73">
        <v>1</v>
      </c>
      <c r="W73">
        <v>0</v>
      </c>
      <c r="X73">
        <v>126826561</v>
      </c>
      <c r="Y73">
        <f t="shared" si="16"/>
        <v>2.92</v>
      </c>
      <c r="AA73">
        <v>0</v>
      </c>
      <c r="AB73">
        <v>0</v>
      </c>
      <c r="AC73">
        <v>0</v>
      </c>
      <c r="AD73">
        <v>644.29999999999995</v>
      </c>
      <c r="AE73">
        <v>0</v>
      </c>
      <c r="AF73">
        <v>0</v>
      </c>
      <c r="AG73">
        <v>0</v>
      </c>
      <c r="AH73">
        <v>644.29999999999995</v>
      </c>
      <c r="AI73">
        <v>1</v>
      </c>
      <c r="AJ73">
        <v>1</v>
      </c>
      <c r="AK73">
        <v>1</v>
      </c>
      <c r="AL73">
        <v>1</v>
      </c>
      <c r="AM73">
        <v>-2</v>
      </c>
      <c r="AN73">
        <v>0</v>
      </c>
      <c r="AO73">
        <v>0</v>
      </c>
      <c r="AP73">
        <v>1</v>
      </c>
      <c r="AQ73">
        <v>1</v>
      </c>
      <c r="AR73">
        <v>0</v>
      </c>
      <c r="AS73" t="s">
        <v>3</v>
      </c>
      <c r="AT73">
        <v>2.92</v>
      </c>
      <c r="AU73" t="s">
        <v>3</v>
      </c>
      <c r="AV73">
        <v>1</v>
      </c>
      <c r="AW73">
        <v>2</v>
      </c>
      <c r="AX73">
        <v>65175060</v>
      </c>
      <c r="AY73">
        <v>1</v>
      </c>
      <c r="AZ73">
        <v>0</v>
      </c>
      <c r="BA73">
        <v>75</v>
      </c>
      <c r="BB73">
        <v>1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0</v>
      </c>
      <c r="BI73">
        <v>0</v>
      </c>
      <c r="BJ73">
        <v>0</v>
      </c>
      <c r="BK73">
        <v>0</v>
      </c>
      <c r="BL73">
        <v>0</v>
      </c>
      <c r="BM73">
        <v>1881.3559999999998</v>
      </c>
      <c r="BN73">
        <v>2.92</v>
      </c>
      <c r="BO73">
        <v>0</v>
      </c>
      <c r="BP73">
        <v>1</v>
      </c>
      <c r="BQ73">
        <v>0</v>
      </c>
      <c r="BR73">
        <v>0</v>
      </c>
      <c r="BS73">
        <v>0</v>
      </c>
      <c r="BT73">
        <v>1881.3559999999998</v>
      </c>
      <c r="BU73">
        <v>2.92</v>
      </c>
      <c r="BV73">
        <v>0</v>
      </c>
      <c r="BW73">
        <v>1</v>
      </c>
      <c r="CU73">
        <f>ROUND(AT73*Source!I223*AH73*AL73,2)</f>
        <v>3762.71</v>
      </c>
      <c r="CV73">
        <f>ROUND(Y73*Source!I223,7)</f>
        <v>5.84</v>
      </c>
      <c r="CW73">
        <v>0</v>
      </c>
      <c r="CX73">
        <f>ROUND(Y73*Source!I223,7)</f>
        <v>5.84</v>
      </c>
      <c r="CY73">
        <f t="shared" si="32"/>
        <v>644.29999999999995</v>
      </c>
      <c r="CZ73">
        <f t="shared" si="33"/>
        <v>644.29999999999995</v>
      </c>
      <c r="DA73">
        <f t="shared" si="34"/>
        <v>1</v>
      </c>
      <c r="DB73">
        <f t="shared" si="17"/>
        <v>1881.36</v>
      </c>
      <c r="DC73">
        <f t="shared" si="18"/>
        <v>0</v>
      </c>
      <c r="DD73" t="s">
        <v>3</v>
      </c>
      <c r="DE73" t="s">
        <v>3</v>
      </c>
      <c r="DF73">
        <f t="shared" si="35"/>
        <v>0</v>
      </c>
      <c r="DG73">
        <f t="shared" si="29"/>
        <v>0</v>
      </c>
      <c r="DH73">
        <f t="shared" si="30"/>
        <v>0</v>
      </c>
      <c r="DI73">
        <f t="shared" si="31"/>
        <v>3762.71</v>
      </c>
      <c r="DJ73">
        <f t="shared" si="36"/>
        <v>3762.71</v>
      </c>
      <c r="DK73">
        <v>1</v>
      </c>
      <c r="DL73" t="s">
        <v>3</v>
      </c>
      <c r="DM73">
        <v>0</v>
      </c>
      <c r="DN73" t="s">
        <v>3</v>
      </c>
      <c r="DO73">
        <v>0</v>
      </c>
    </row>
    <row r="74" spans="1:119" x14ac:dyDescent="0.2">
      <c r="A74">
        <f>ROW(Source!A224)</f>
        <v>224</v>
      </c>
      <c r="B74">
        <v>65174513</v>
      </c>
      <c r="C74">
        <v>65175061</v>
      </c>
      <c r="D74">
        <v>58933400</v>
      </c>
      <c r="E74">
        <v>109</v>
      </c>
      <c r="F74">
        <v>1</v>
      </c>
      <c r="G74">
        <v>1</v>
      </c>
      <c r="H74">
        <v>1</v>
      </c>
      <c r="I74" t="s">
        <v>373</v>
      </c>
      <c r="J74" t="s">
        <v>3</v>
      </c>
      <c r="K74" t="s">
        <v>374</v>
      </c>
      <c r="L74">
        <v>1369</v>
      </c>
      <c r="N74">
        <v>1013</v>
      </c>
      <c r="O74" t="s">
        <v>303</v>
      </c>
      <c r="P74" t="s">
        <v>303</v>
      </c>
      <c r="Q74">
        <v>1</v>
      </c>
      <c r="W74">
        <v>0</v>
      </c>
      <c r="X74">
        <v>-512803540</v>
      </c>
      <c r="Y74">
        <f t="shared" si="16"/>
        <v>0.57999999999999996</v>
      </c>
      <c r="AA74">
        <v>0</v>
      </c>
      <c r="AB74">
        <v>0</v>
      </c>
      <c r="AC74">
        <v>0</v>
      </c>
      <c r="AD74">
        <v>490.55</v>
      </c>
      <c r="AE74">
        <v>0</v>
      </c>
      <c r="AF74">
        <v>0</v>
      </c>
      <c r="AG74">
        <v>0</v>
      </c>
      <c r="AH74">
        <v>490.55</v>
      </c>
      <c r="AI74">
        <v>1</v>
      </c>
      <c r="AJ74">
        <v>1</v>
      </c>
      <c r="AK74">
        <v>1</v>
      </c>
      <c r="AL74">
        <v>1</v>
      </c>
      <c r="AM74">
        <v>-2</v>
      </c>
      <c r="AN74">
        <v>0</v>
      </c>
      <c r="AO74">
        <v>0</v>
      </c>
      <c r="AP74">
        <v>1</v>
      </c>
      <c r="AQ74">
        <v>1</v>
      </c>
      <c r="AR74">
        <v>0</v>
      </c>
      <c r="AS74" t="s">
        <v>3</v>
      </c>
      <c r="AT74">
        <v>0.57999999999999996</v>
      </c>
      <c r="AU74" t="s">
        <v>3</v>
      </c>
      <c r="AV74">
        <v>1</v>
      </c>
      <c r="AW74">
        <v>2</v>
      </c>
      <c r="AX74">
        <v>65175064</v>
      </c>
      <c r="AY74">
        <v>1</v>
      </c>
      <c r="AZ74">
        <v>0</v>
      </c>
      <c r="BA74">
        <v>76</v>
      </c>
      <c r="BB74">
        <v>1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0</v>
      </c>
      <c r="BI74">
        <v>0</v>
      </c>
      <c r="BJ74">
        <v>0</v>
      </c>
      <c r="BK74">
        <v>0</v>
      </c>
      <c r="BL74">
        <v>0</v>
      </c>
      <c r="BM74">
        <v>284.51900000000001</v>
      </c>
      <c r="BN74">
        <v>0.57999999999999996</v>
      </c>
      <c r="BO74">
        <v>0</v>
      </c>
      <c r="BP74">
        <v>1</v>
      </c>
      <c r="BQ74">
        <v>0</v>
      </c>
      <c r="BR74">
        <v>0</v>
      </c>
      <c r="BS74">
        <v>0</v>
      </c>
      <c r="BT74">
        <v>284.51900000000001</v>
      </c>
      <c r="BU74">
        <v>0.57999999999999996</v>
      </c>
      <c r="BV74">
        <v>0</v>
      </c>
      <c r="BW74">
        <v>1</v>
      </c>
      <c r="CU74">
        <f>ROUND(AT74*Source!I224*AH74*AL74,2)</f>
        <v>466.61</v>
      </c>
      <c r="CV74">
        <f>ROUND(Y74*Source!I224,7)</f>
        <v>0.95120000000000005</v>
      </c>
      <c r="CW74">
        <v>0</v>
      </c>
      <c r="CX74">
        <f>ROUND(Y74*Source!I224,7)</f>
        <v>0.95120000000000005</v>
      </c>
      <c r="CY74">
        <f t="shared" si="32"/>
        <v>490.55</v>
      </c>
      <c r="CZ74">
        <f t="shared" si="33"/>
        <v>490.55</v>
      </c>
      <c r="DA74">
        <f t="shared" si="34"/>
        <v>1</v>
      </c>
      <c r="DB74">
        <f t="shared" si="17"/>
        <v>284.52</v>
      </c>
      <c r="DC74">
        <f t="shared" si="18"/>
        <v>0</v>
      </c>
      <c r="DD74" t="s">
        <v>3</v>
      </c>
      <c r="DE74" t="s">
        <v>3</v>
      </c>
      <c r="DF74">
        <f t="shared" si="35"/>
        <v>0</v>
      </c>
      <c r="DG74">
        <f t="shared" si="29"/>
        <v>0</v>
      </c>
      <c r="DH74">
        <f t="shared" si="30"/>
        <v>0</v>
      </c>
      <c r="DI74">
        <f t="shared" si="31"/>
        <v>466.61</v>
      </c>
      <c r="DJ74">
        <f t="shared" si="36"/>
        <v>466.61</v>
      </c>
      <c r="DK74">
        <v>1</v>
      </c>
      <c r="DL74" t="s">
        <v>3</v>
      </c>
      <c r="DM74">
        <v>0</v>
      </c>
      <c r="DN74" t="s">
        <v>3</v>
      </c>
      <c r="DO74">
        <v>0</v>
      </c>
    </row>
    <row r="75" spans="1:119" x14ac:dyDescent="0.2">
      <c r="A75">
        <f>ROW(Source!A224)</f>
        <v>224</v>
      </c>
      <c r="B75">
        <v>65174513</v>
      </c>
      <c r="C75">
        <v>65175061</v>
      </c>
      <c r="D75">
        <v>58933427</v>
      </c>
      <c r="E75">
        <v>109</v>
      </c>
      <c r="F75">
        <v>1</v>
      </c>
      <c r="G75">
        <v>1</v>
      </c>
      <c r="H75">
        <v>1</v>
      </c>
      <c r="I75" t="s">
        <v>371</v>
      </c>
      <c r="J75" t="s">
        <v>3</v>
      </c>
      <c r="K75" t="s">
        <v>372</v>
      </c>
      <c r="L75">
        <v>1369</v>
      </c>
      <c r="N75">
        <v>1013</v>
      </c>
      <c r="O75" t="s">
        <v>303</v>
      </c>
      <c r="P75" t="s">
        <v>303</v>
      </c>
      <c r="Q75">
        <v>1</v>
      </c>
      <c r="W75">
        <v>0</v>
      </c>
      <c r="X75">
        <v>126826561</v>
      </c>
      <c r="Y75">
        <f t="shared" si="16"/>
        <v>0.87</v>
      </c>
      <c r="AA75">
        <v>0</v>
      </c>
      <c r="AB75">
        <v>0</v>
      </c>
      <c r="AC75">
        <v>0</v>
      </c>
      <c r="AD75">
        <v>644.29999999999995</v>
      </c>
      <c r="AE75">
        <v>0</v>
      </c>
      <c r="AF75">
        <v>0</v>
      </c>
      <c r="AG75">
        <v>0</v>
      </c>
      <c r="AH75">
        <v>644.29999999999995</v>
      </c>
      <c r="AI75">
        <v>1</v>
      </c>
      <c r="AJ75">
        <v>1</v>
      </c>
      <c r="AK75">
        <v>1</v>
      </c>
      <c r="AL75">
        <v>1</v>
      </c>
      <c r="AM75">
        <v>-2</v>
      </c>
      <c r="AN75">
        <v>0</v>
      </c>
      <c r="AO75">
        <v>0</v>
      </c>
      <c r="AP75">
        <v>1</v>
      </c>
      <c r="AQ75">
        <v>1</v>
      </c>
      <c r="AR75">
        <v>0</v>
      </c>
      <c r="AS75" t="s">
        <v>3</v>
      </c>
      <c r="AT75">
        <v>0.87</v>
      </c>
      <c r="AU75" t="s">
        <v>3</v>
      </c>
      <c r="AV75">
        <v>1</v>
      </c>
      <c r="AW75">
        <v>2</v>
      </c>
      <c r="AX75">
        <v>65175065</v>
      </c>
      <c r="AY75">
        <v>1</v>
      </c>
      <c r="AZ75">
        <v>0</v>
      </c>
      <c r="BA75">
        <v>77</v>
      </c>
      <c r="BB75">
        <v>1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0</v>
      </c>
      <c r="BI75">
        <v>0</v>
      </c>
      <c r="BJ75">
        <v>0</v>
      </c>
      <c r="BK75">
        <v>0</v>
      </c>
      <c r="BL75">
        <v>0</v>
      </c>
      <c r="BM75">
        <v>560.54099999999994</v>
      </c>
      <c r="BN75">
        <v>0.87</v>
      </c>
      <c r="BO75">
        <v>0</v>
      </c>
      <c r="BP75">
        <v>1</v>
      </c>
      <c r="BQ75">
        <v>0</v>
      </c>
      <c r="BR75">
        <v>0</v>
      </c>
      <c r="BS75">
        <v>0</v>
      </c>
      <c r="BT75">
        <v>560.54099999999994</v>
      </c>
      <c r="BU75">
        <v>0.87</v>
      </c>
      <c r="BV75">
        <v>0</v>
      </c>
      <c r="BW75">
        <v>1</v>
      </c>
      <c r="CU75">
        <f>ROUND(AT75*Source!I224*AH75*AL75,2)</f>
        <v>919.29</v>
      </c>
      <c r="CV75">
        <f>ROUND(Y75*Source!I224,7)</f>
        <v>1.4268000000000001</v>
      </c>
      <c r="CW75">
        <v>0</v>
      </c>
      <c r="CX75">
        <f>ROUND(Y75*Source!I224,7)</f>
        <v>1.4268000000000001</v>
      </c>
      <c r="CY75">
        <f t="shared" si="32"/>
        <v>644.29999999999995</v>
      </c>
      <c r="CZ75">
        <f t="shared" si="33"/>
        <v>644.29999999999995</v>
      </c>
      <c r="DA75">
        <f t="shared" si="34"/>
        <v>1</v>
      </c>
      <c r="DB75">
        <f t="shared" si="17"/>
        <v>560.54</v>
      </c>
      <c r="DC75">
        <f t="shared" si="18"/>
        <v>0</v>
      </c>
      <c r="DD75" t="s">
        <v>3</v>
      </c>
      <c r="DE75" t="s">
        <v>3</v>
      </c>
      <c r="DF75">
        <f t="shared" si="35"/>
        <v>0</v>
      </c>
      <c r="DG75">
        <f t="shared" si="29"/>
        <v>0</v>
      </c>
      <c r="DH75">
        <f t="shared" si="30"/>
        <v>0</v>
      </c>
      <c r="DI75">
        <f t="shared" si="31"/>
        <v>919.29</v>
      </c>
      <c r="DJ75">
        <f t="shared" si="36"/>
        <v>919.29</v>
      </c>
      <c r="DK75">
        <v>1</v>
      </c>
      <c r="DL75" t="s">
        <v>3</v>
      </c>
      <c r="DM75">
        <v>0</v>
      </c>
      <c r="DN75" t="s">
        <v>3</v>
      </c>
      <c r="DO75">
        <v>0</v>
      </c>
    </row>
    <row r="319" spans="9:9" x14ac:dyDescent="0.2">
      <c r="I319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F2334E-9858-4803-8EAC-D4FF08D4CBA7}">
  <dimension ref="A1:AR77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44" x14ac:dyDescent="0.2">
      <c r="A1">
        <f>ROW(Source!A62)</f>
        <v>62</v>
      </c>
      <c r="B1">
        <v>65174665</v>
      </c>
      <c r="C1">
        <v>65174663</v>
      </c>
      <c r="D1">
        <v>37064998</v>
      </c>
      <c r="E1">
        <v>109</v>
      </c>
      <c r="F1">
        <v>1</v>
      </c>
      <c r="G1">
        <v>1</v>
      </c>
      <c r="H1">
        <v>1</v>
      </c>
      <c r="I1" t="s">
        <v>294</v>
      </c>
      <c r="J1" t="s">
        <v>3</v>
      </c>
      <c r="K1" t="s">
        <v>295</v>
      </c>
      <c r="L1">
        <v>1191</v>
      </c>
      <c r="N1">
        <v>1013</v>
      </c>
      <c r="O1" t="s">
        <v>296</v>
      </c>
      <c r="P1" t="s">
        <v>296</v>
      </c>
      <c r="Q1">
        <v>1</v>
      </c>
      <c r="X1">
        <v>154</v>
      </c>
      <c r="Y1">
        <v>0</v>
      </c>
      <c r="Z1">
        <v>0</v>
      </c>
      <c r="AA1">
        <v>0</v>
      </c>
      <c r="AB1">
        <v>399.03</v>
      </c>
      <c r="AC1">
        <v>0</v>
      </c>
      <c r="AD1">
        <v>1</v>
      </c>
      <c r="AE1">
        <v>1</v>
      </c>
      <c r="AF1" t="s">
        <v>80</v>
      </c>
      <c r="AG1">
        <v>177.1</v>
      </c>
      <c r="AH1">
        <v>2</v>
      </c>
      <c r="AI1">
        <v>65174664</v>
      </c>
      <c r="AJ1">
        <v>1</v>
      </c>
      <c r="AK1">
        <v>0</v>
      </c>
      <c r="AL1">
        <v>0</v>
      </c>
      <c r="AM1">
        <v>0</v>
      </c>
      <c r="AN1">
        <v>0</v>
      </c>
      <c r="AO1">
        <v>0</v>
      </c>
      <c r="AP1">
        <v>0</v>
      </c>
      <c r="AQ1">
        <v>0</v>
      </c>
      <c r="AR1">
        <v>0</v>
      </c>
    </row>
    <row r="2" spans="1:44" x14ac:dyDescent="0.2">
      <c r="A2">
        <f>ROW(Source!A63)</f>
        <v>63</v>
      </c>
      <c r="B2">
        <v>65175082</v>
      </c>
      <c r="C2">
        <v>65174666</v>
      </c>
      <c r="D2">
        <v>63884057</v>
      </c>
      <c r="E2">
        <v>112</v>
      </c>
      <c r="F2">
        <v>1</v>
      </c>
      <c r="G2">
        <v>1</v>
      </c>
      <c r="H2">
        <v>1</v>
      </c>
      <c r="I2" t="s">
        <v>297</v>
      </c>
      <c r="J2" t="s">
        <v>3</v>
      </c>
      <c r="K2" t="s">
        <v>298</v>
      </c>
      <c r="L2">
        <v>1191</v>
      </c>
      <c r="N2">
        <v>1013</v>
      </c>
      <c r="O2" t="s">
        <v>296</v>
      </c>
      <c r="P2" t="s">
        <v>296</v>
      </c>
      <c r="Q2">
        <v>1</v>
      </c>
      <c r="X2">
        <v>88.5</v>
      </c>
      <c r="Y2">
        <v>0</v>
      </c>
      <c r="Z2">
        <v>0</v>
      </c>
      <c r="AA2">
        <v>0</v>
      </c>
      <c r="AB2">
        <v>382.55</v>
      </c>
      <c r="AC2">
        <v>0</v>
      </c>
      <c r="AD2">
        <v>1</v>
      </c>
      <c r="AE2">
        <v>1</v>
      </c>
      <c r="AF2" t="s">
        <v>93</v>
      </c>
      <c r="AG2">
        <v>97.350000000000009</v>
      </c>
      <c r="AH2">
        <v>2</v>
      </c>
      <c r="AI2">
        <v>65175082</v>
      </c>
      <c r="AJ2">
        <v>2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</row>
    <row r="3" spans="1:44" x14ac:dyDescent="0.2">
      <c r="A3">
        <f>ROW(Source!A64)</f>
        <v>64</v>
      </c>
      <c r="B3">
        <v>65174672</v>
      </c>
      <c r="C3">
        <v>65174669</v>
      </c>
      <c r="D3">
        <v>37068121</v>
      </c>
      <c r="E3">
        <v>109</v>
      </c>
      <c r="F3">
        <v>1</v>
      </c>
      <c r="G3">
        <v>1</v>
      </c>
      <c r="H3">
        <v>1</v>
      </c>
      <c r="I3" t="s">
        <v>299</v>
      </c>
      <c r="J3" t="s">
        <v>3</v>
      </c>
      <c r="K3" t="s">
        <v>300</v>
      </c>
      <c r="L3">
        <v>1191</v>
      </c>
      <c r="N3">
        <v>1013</v>
      </c>
      <c r="O3" t="s">
        <v>296</v>
      </c>
      <c r="P3" t="s">
        <v>296</v>
      </c>
      <c r="Q3">
        <v>1</v>
      </c>
      <c r="X3">
        <v>40</v>
      </c>
      <c r="Y3">
        <v>0</v>
      </c>
      <c r="Z3">
        <v>0</v>
      </c>
      <c r="AA3">
        <v>0</v>
      </c>
      <c r="AB3">
        <v>406.35</v>
      </c>
      <c r="AC3">
        <v>0</v>
      </c>
      <c r="AD3">
        <v>1</v>
      </c>
      <c r="AE3">
        <v>1</v>
      </c>
      <c r="AF3" t="s">
        <v>3</v>
      </c>
      <c r="AG3">
        <v>40</v>
      </c>
      <c r="AH3">
        <v>2</v>
      </c>
      <c r="AI3">
        <v>65174670</v>
      </c>
      <c r="AJ3">
        <v>3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</row>
    <row r="4" spans="1:44" x14ac:dyDescent="0.2">
      <c r="A4">
        <f>ROW(Source!A64)</f>
        <v>64</v>
      </c>
      <c r="B4">
        <v>65174673</v>
      </c>
      <c r="C4">
        <v>65174669</v>
      </c>
      <c r="D4">
        <v>58937105</v>
      </c>
      <c r="E4">
        <v>109</v>
      </c>
      <c r="F4">
        <v>1</v>
      </c>
      <c r="G4">
        <v>1</v>
      </c>
      <c r="H4">
        <v>3</v>
      </c>
      <c r="I4" t="s">
        <v>375</v>
      </c>
      <c r="J4" t="s">
        <v>3</v>
      </c>
      <c r="K4" t="s">
        <v>106</v>
      </c>
      <c r="L4">
        <v>1339</v>
      </c>
      <c r="N4">
        <v>1007</v>
      </c>
      <c r="O4" t="s">
        <v>107</v>
      </c>
      <c r="P4" t="s">
        <v>107</v>
      </c>
      <c r="Q4">
        <v>1</v>
      </c>
      <c r="X4">
        <v>15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 t="s">
        <v>3</v>
      </c>
      <c r="AG4">
        <v>15</v>
      </c>
      <c r="AH4">
        <v>3</v>
      </c>
      <c r="AI4">
        <v>-1</v>
      </c>
      <c r="AJ4" t="s">
        <v>3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</row>
    <row r="5" spans="1:44" x14ac:dyDescent="0.2">
      <c r="A5">
        <f>ROW(Source!A66)</f>
        <v>66</v>
      </c>
      <c r="B5">
        <v>65174682</v>
      </c>
      <c r="C5">
        <v>65174675</v>
      </c>
      <c r="D5">
        <v>58933394</v>
      </c>
      <c r="E5">
        <v>109</v>
      </c>
      <c r="F5">
        <v>1</v>
      </c>
      <c r="G5">
        <v>1</v>
      </c>
      <c r="H5">
        <v>1</v>
      </c>
      <c r="I5" t="s">
        <v>301</v>
      </c>
      <c r="J5" t="s">
        <v>3</v>
      </c>
      <c r="K5" t="s">
        <v>302</v>
      </c>
      <c r="L5">
        <v>1369</v>
      </c>
      <c r="N5">
        <v>1013</v>
      </c>
      <c r="O5" t="s">
        <v>303</v>
      </c>
      <c r="P5" t="s">
        <v>303</v>
      </c>
      <c r="Q5">
        <v>1</v>
      </c>
      <c r="X5">
        <v>5</v>
      </c>
      <c r="Y5">
        <v>0</v>
      </c>
      <c r="Z5">
        <v>0</v>
      </c>
      <c r="AA5">
        <v>0</v>
      </c>
      <c r="AB5">
        <v>399.03</v>
      </c>
      <c r="AC5">
        <v>0</v>
      </c>
      <c r="AD5">
        <v>1</v>
      </c>
      <c r="AE5">
        <v>1</v>
      </c>
      <c r="AF5" t="s">
        <v>3</v>
      </c>
      <c r="AG5">
        <v>5</v>
      </c>
      <c r="AH5">
        <v>2</v>
      </c>
      <c r="AI5">
        <v>65174676</v>
      </c>
      <c r="AJ5">
        <v>5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</row>
    <row r="6" spans="1:44" x14ac:dyDescent="0.2">
      <c r="A6">
        <f>ROW(Source!A66)</f>
        <v>66</v>
      </c>
      <c r="B6">
        <v>65174683</v>
      </c>
      <c r="C6">
        <v>65174675</v>
      </c>
      <c r="D6">
        <v>58933396</v>
      </c>
      <c r="E6">
        <v>109</v>
      </c>
      <c r="F6">
        <v>1</v>
      </c>
      <c r="G6">
        <v>1</v>
      </c>
      <c r="H6">
        <v>1</v>
      </c>
      <c r="I6" t="s">
        <v>304</v>
      </c>
      <c r="J6" t="s">
        <v>3</v>
      </c>
      <c r="K6" t="s">
        <v>305</v>
      </c>
      <c r="L6">
        <v>1369</v>
      </c>
      <c r="N6">
        <v>1013</v>
      </c>
      <c r="O6" t="s">
        <v>303</v>
      </c>
      <c r="P6" t="s">
        <v>303</v>
      </c>
      <c r="Q6">
        <v>1</v>
      </c>
      <c r="X6">
        <v>0.67</v>
      </c>
      <c r="Y6">
        <v>0</v>
      </c>
      <c r="Z6">
        <v>0</v>
      </c>
      <c r="AA6">
        <v>0</v>
      </c>
      <c r="AB6">
        <v>435.64</v>
      </c>
      <c r="AC6">
        <v>0</v>
      </c>
      <c r="AD6">
        <v>1</v>
      </c>
      <c r="AE6">
        <v>1</v>
      </c>
      <c r="AF6" t="s">
        <v>3</v>
      </c>
      <c r="AG6">
        <v>0.67</v>
      </c>
      <c r="AH6">
        <v>2</v>
      </c>
      <c r="AI6">
        <v>65174677</v>
      </c>
      <c r="AJ6">
        <v>6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</row>
    <row r="7" spans="1:44" x14ac:dyDescent="0.2">
      <c r="A7">
        <f>ROW(Source!A66)</f>
        <v>66</v>
      </c>
      <c r="B7">
        <v>65174684</v>
      </c>
      <c r="C7">
        <v>65174675</v>
      </c>
      <c r="D7">
        <v>37064876</v>
      </c>
      <c r="E7">
        <v>109</v>
      </c>
      <c r="F7">
        <v>1</v>
      </c>
      <c r="G7">
        <v>1</v>
      </c>
      <c r="H7">
        <v>1</v>
      </c>
      <c r="I7" t="s">
        <v>306</v>
      </c>
      <c r="J7" t="s">
        <v>3</v>
      </c>
      <c r="K7" t="s">
        <v>307</v>
      </c>
      <c r="L7">
        <v>1191</v>
      </c>
      <c r="N7">
        <v>1013</v>
      </c>
      <c r="O7" t="s">
        <v>296</v>
      </c>
      <c r="P7" t="s">
        <v>296</v>
      </c>
      <c r="Q7">
        <v>1</v>
      </c>
      <c r="X7">
        <v>1.3</v>
      </c>
      <c r="Y7">
        <v>0</v>
      </c>
      <c r="Z7">
        <v>0</v>
      </c>
      <c r="AA7">
        <v>0</v>
      </c>
      <c r="AB7">
        <v>0</v>
      </c>
      <c r="AC7">
        <v>0</v>
      </c>
      <c r="AD7">
        <v>1</v>
      </c>
      <c r="AE7">
        <v>2</v>
      </c>
      <c r="AF7" t="s">
        <v>3</v>
      </c>
      <c r="AG7">
        <v>1.3</v>
      </c>
      <c r="AH7">
        <v>2</v>
      </c>
      <c r="AI7">
        <v>65174678</v>
      </c>
      <c r="AJ7">
        <v>7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</row>
    <row r="8" spans="1:44" x14ac:dyDescent="0.2">
      <c r="A8">
        <f>ROW(Source!A66)</f>
        <v>66</v>
      </c>
      <c r="B8">
        <v>65174685</v>
      </c>
      <c r="C8">
        <v>65174675</v>
      </c>
      <c r="D8">
        <v>59055716</v>
      </c>
      <c r="E8">
        <v>1</v>
      </c>
      <c r="F8">
        <v>1</v>
      </c>
      <c r="G8">
        <v>1</v>
      </c>
      <c r="H8">
        <v>2</v>
      </c>
      <c r="I8" t="s">
        <v>308</v>
      </c>
      <c r="J8" t="s">
        <v>309</v>
      </c>
      <c r="K8" t="s">
        <v>310</v>
      </c>
      <c r="L8">
        <v>1368</v>
      </c>
      <c r="N8">
        <v>1011</v>
      </c>
      <c r="O8" t="s">
        <v>311</v>
      </c>
      <c r="P8" t="s">
        <v>311</v>
      </c>
      <c r="Q8">
        <v>1</v>
      </c>
      <c r="X8">
        <v>1.3</v>
      </c>
      <c r="Y8">
        <v>0</v>
      </c>
      <c r="Z8">
        <v>1043.1400000000001</v>
      </c>
      <c r="AA8">
        <v>490.55</v>
      </c>
      <c r="AB8">
        <v>0</v>
      </c>
      <c r="AC8">
        <v>0</v>
      </c>
      <c r="AD8">
        <v>1</v>
      </c>
      <c r="AE8">
        <v>0</v>
      </c>
      <c r="AF8" t="s">
        <v>3</v>
      </c>
      <c r="AG8">
        <v>1.3</v>
      </c>
      <c r="AH8">
        <v>2</v>
      </c>
      <c r="AI8">
        <v>65174679</v>
      </c>
      <c r="AJ8">
        <v>8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</row>
    <row r="9" spans="1:44" x14ac:dyDescent="0.2">
      <c r="A9">
        <f>ROW(Source!A66)</f>
        <v>66</v>
      </c>
      <c r="B9">
        <v>65174686</v>
      </c>
      <c r="C9">
        <v>65174675</v>
      </c>
      <c r="D9">
        <v>59008756</v>
      </c>
      <c r="E9">
        <v>1</v>
      </c>
      <c r="F9">
        <v>1</v>
      </c>
      <c r="G9">
        <v>1</v>
      </c>
      <c r="H9">
        <v>3</v>
      </c>
      <c r="I9" t="s">
        <v>313</v>
      </c>
      <c r="J9" t="s">
        <v>314</v>
      </c>
      <c r="K9" t="s">
        <v>315</v>
      </c>
      <c r="L9">
        <v>1339</v>
      </c>
      <c r="N9">
        <v>1007</v>
      </c>
      <c r="O9" t="s">
        <v>107</v>
      </c>
      <c r="P9" t="s">
        <v>107</v>
      </c>
      <c r="Q9">
        <v>1</v>
      </c>
      <c r="X9">
        <v>10</v>
      </c>
      <c r="Y9">
        <v>35.71</v>
      </c>
      <c r="Z9">
        <v>0</v>
      </c>
      <c r="AA9">
        <v>0</v>
      </c>
      <c r="AB9">
        <v>0</v>
      </c>
      <c r="AC9">
        <v>0</v>
      </c>
      <c r="AD9">
        <v>1</v>
      </c>
      <c r="AE9">
        <v>0</v>
      </c>
      <c r="AF9" t="s">
        <v>3</v>
      </c>
      <c r="AG9">
        <v>10</v>
      </c>
      <c r="AH9">
        <v>2</v>
      </c>
      <c r="AI9">
        <v>65174680</v>
      </c>
      <c r="AJ9">
        <v>9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</row>
    <row r="10" spans="1:44" x14ac:dyDescent="0.2">
      <c r="A10">
        <f>ROW(Source!A66)</f>
        <v>66</v>
      </c>
      <c r="B10">
        <v>65174687</v>
      </c>
      <c r="C10">
        <v>65174675</v>
      </c>
      <c r="D10">
        <v>58937126</v>
      </c>
      <c r="E10">
        <v>109</v>
      </c>
      <c r="F10">
        <v>1</v>
      </c>
      <c r="G10">
        <v>1</v>
      </c>
      <c r="H10">
        <v>3</v>
      </c>
      <c r="I10" t="s">
        <v>376</v>
      </c>
      <c r="J10" t="s">
        <v>3</v>
      </c>
      <c r="K10" t="s">
        <v>377</v>
      </c>
      <c r="L10">
        <v>1346</v>
      </c>
      <c r="N10">
        <v>1009</v>
      </c>
      <c r="O10" t="s">
        <v>117</v>
      </c>
      <c r="P10" t="s">
        <v>117</v>
      </c>
      <c r="Q10">
        <v>1</v>
      </c>
      <c r="X10">
        <v>2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 t="s">
        <v>3</v>
      </c>
      <c r="AG10">
        <v>2</v>
      </c>
      <c r="AH10">
        <v>3</v>
      </c>
      <c r="AI10">
        <v>-1</v>
      </c>
      <c r="AJ10" t="s">
        <v>3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</row>
    <row r="11" spans="1:44" x14ac:dyDescent="0.2">
      <c r="A11">
        <f>ROW(Source!A103)</f>
        <v>103</v>
      </c>
      <c r="B11">
        <v>65174759</v>
      </c>
      <c r="C11">
        <v>65174746</v>
      </c>
      <c r="D11">
        <v>37064878</v>
      </c>
      <c r="E11">
        <v>109</v>
      </c>
      <c r="F11">
        <v>1</v>
      </c>
      <c r="G11">
        <v>1</v>
      </c>
      <c r="H11">
        <v>1</v>
      </c>
      <c r="I11" t="s">
        <v>316</v>
      </c>
      <c r="J11" t="s">
        <v>3</v>
      </c>
      <c r="K11" t="s">
        <v>317</v>
      </c>
      <c r="L11">
        <v>1191</v>
      </c>
      <c r="N11">
        <v>1013</v>
      </c>
      <c r="O11" t="s">
        <v>296</v>
      </c>
      <c r="P11" t="s">
        <v>296</v>
      </c>
      <c r="Q11">
        <v>1</v>
      </c>
      <c r="X11">
        <v>17.440000000000001</v>
      </c>
      <c r="Y11">
        <v>0</v>
      </c>
      <c r="Z11">
        <v>0</v>
      </c>
      <c r="AA11">
        <v>0</v>
      </c>
      <c r="AB11">
        <v>479.56</v>
      </c>
      <c r="AC11">
        <v>0</v>
      </c>
      <c r="AD11">
        <v>1</v>
      </c>
      <c r="AE11">
        <v>1</v>
      </c>
      <c r="AF11" t="s">
        <v>127</v>
      </c>
      <c r="AG11">
        <v>5.2320000000000002</v>
      </c>
      <c r="AH11">
        <v>2</v>
      </c>
      <c r="AI11">
        <v>65174747</v>
      </c>
      <c r="AJ11">
        <v>11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</row>
    <row r="12" spans="1:44" x14ac:dyDescent="0.2">
      <c r="A12">
        <f>ROW(Source!A103)</f>
        <v>103</v>
      </c>
      <c r="B12">
        <v>65174760</v>
      </c>
      <c r="C12">
        <v>65174746</v>
      </c>
      <c r="D12">
        <v>37064876</v>
      </c>
      <c r="E12">
        <v>109</v>
      </c>
      <c r="F12">
        <v>1</v>
      </c>
      <c r="G12">
        <v>1</v>
      </c>
      <c r="H12">
        <v>1</v>
      </c>
      <c r="I12" t="s">
        <v>306</v>
      </c>
      <c r="J12" t="s">
        <v>3</v>
      </c>
      <c r="K12" t="s">
        <v>307</v>
      </c>
      <c r="L12">
        <v>1191</v>
      </c>
      <c r="N12">
        <v>1013</v>
      </c>
      <c r="O12" t="s">
        <v>296</v>
      </c>
      <c r="P12" t="s">
        <v>296</v>
      </c>
      <c r="Q12">
        <v>1</v>
      </c>
      <c r="X12">
        <v>2.64</v>
      </c>
      <c r="Y12">
        <v>0</v>
      </c>
      <c r="Z12">
        <v>0</v>
      </c>
      <c r="AA12">
        <v>0</v>
      </c>
      <c r="AB12">
        <v>0</v>
      </c>
      <c r="AC12">
        <v>0</v>
      </c>
      <c r="AD12">
        <v>1</v>
      </c>
      <c r="AE12">
        <v>2</v>
      </c>
      <c r="AF12" t="s">
        <v>127</v>
      </c>
      <c r="AG12">
        <v>0.79200000000000004</v>
      </c>
      <c r="AH12">
        <v>2</v>
      </c>
      <c r="AI12">
        <v>65174748</v>
      </c>
      <c r="AJ12">
        <v>12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</row>
    <row r="13" spans="1:44" x14ac:dyDescent="0.2">
      <c r="A13">
        <f>ROW(Source!A103)</f>
        <v>103</v>
      </c>
      <c r="B13">
        <v>65174761</v>
      </c>
      <c r="C13">
        <v>65174746</v>
      </c>
      <c r="D13">
        <v>59054880</v>
      </c>
      <c r="E13">
        <v>1</v>
      </c>
      <c r="F13">
        <v>1</v>
      </c>
      <c r="G13">
        <v>1</v>
      </c>
      <c r="H13">
        <v>2</v>
      </c>
      <c r="I13" t="s">
        <v>318</v>
      </c>
      <c r="J13" t="s">
        <v>319</v>
      </c>
      <c r="K13" t="s">
        <v>320</v>
      </c>
      <c r="L13">
        <v>1368</v>
      </c>
      <c r="N13">
        <v>1011</v>
      </c>
      <c r="O13" t="s">
        <v>311</v>
      </c>
      <c r="P13" t="s">
        <v>311</v>
      </c>
      <c r="Q13">
        <v>1</v>
      </c>
      <c r="X13">
        <v>1.32</v>
      </c>
      <c r="Y13">
        <v>0</v>
      </c>
      <c r="Z13">
        <v>1551.19</v>
      </c>
      <c r="AA13">
        <v>658.94</v>
      </c>
      <c r="AB13">
        <v>0</v>
      </c>
      <c r="AC13">
        <v>0</v>
      </c>
      <c r="AD13">
        <v>1</v>
      </c>
      <c r="AE13">
        <v>0</v>
      </c>
      <c r="AF13" t="s">
        <v>127</v>
      </c>
      <c r="AG13">
        <v>0.39600000000000002</v>
      </c>
      <c r="AH13">
        <v>2</v>
      </c>
      <c r="AI13">
        <v>65174749</v>
      </c>
      <c r="AJ13">
        <v>13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</row>
    <row r="14" spans="1:44" x14ac:dyDescent="0.2">
      <c r="A14">
        <f>ROW(Source!A103)</f>
        <v>103</v>
      </c>
      <c r="B14">
        <v>65174762</v>
      </c>
      <c r="C14">
        <v>65174746</v>
      </c>
      <c r="D14">
        <v>59054978</v>
      </c>
      <c r="E14">
        <v>1</v>
      </c>
      <c r="F14">
        <v>1</v>
      </c>
      <c r="G14">
        <v>1</v>
      </c>
      <c r="H14">
        <v>2</v>
      </c>
      <c r="I14" t="s">
        <v>322</v>
      </c>
      <c r="J14" t="s">
        <v>323</v>
      </c>
      <c r="K14" t="s">
        <v>324</v>
      </c>
      <c r="L14">
        <v>1368</v>
      </c>
      <c r="N14">
        <v>1011</v>
      </c>
      <c r="O14" t="s">
        <v>311</v>
      </c>
      <c r="P14" t="s">
        <v>311</v>
      </c>
      <c r="Q14">
        <v>1</v>
      </c>
      <c r="X14">
        <v>3.97</v>
      </c>
      <c r="Y14">
        <v>0</v>
      </c>
      <c r="Z14">
        <v>1.75</v>
      </c>
      <c r="AA14">
        <v>0</v>
      </c>
      <c r="AB14">
        <v>0</v>
      </c>
      <c r="AC14">
        <v>0</v>
      </c>
      <c r="AD14">
        <v>1</v>
      </c>
      <c r="AE14">
        <v>0</v>
      </c>
      <c r="AF14" t="s">
        <v>127</v>
      </c>
      <c r="AG14">
        <v>1.1910000000000001</v>
      </c>
      <c r="AH14">
        <v>2</v>
      </c>
      <c r="AI14">
        <v>65174750</v>
      </c>
      <c r="AJ14">
        <v>14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</row>
    <row r="15" spans="1:44" x14ac:dyDescent="0.2">
      <c r="A15">
        <f>ROW(Source!A103)</f>
        <v>103</v>
      </c>
      <c r="B15">
        <v>65174763</v>
      </c>
      <c r="C15">
        <v>65174746</v>
      </c>
      <c r="D15">
        <v>59055022</v>
      </c>
      <c r="E15">
        <v>1</v>
      </c>
      <c r="F15">
        <v>1</v>
      </c>
      <c r="G15">
        <v>1</v>
      </c>
      <c r="H15">
        <v>2</v>
      </c>
      <c r="I15" t="s">
        <v>325</v>
      </c>
      <c r="J15" t="s">
        <v>326</v>
      </c>
      <c r="K15" t="s">
        <v>327</v>
      </c>
      <c r="L15">
        <v>1368</v>
      </c>
      <c r="N15">
        <v>1011</v>
      </c>
      <c r="O15" t="s">
        <v>311</v>
      </c>
      <c r="P15" t="s">
        <v>311</v>
      </c>
      <c r="Q15">
        <v>1</v>
      </c>
      <c r="X15">
        <v>3.97</v>
      </c>
      <c r="Y15">
        <v>0</v>
      </c>
      <c r="Z15">
        <v>13.44</v>
      </c>
      <c r="AA15">
        <v>0</v>
      </c>
      <c r="AB15">
        <v>0</v>
      </c>
      <c r="AC15">
        <v>0</v>
      </c>
      <c r="AD15">
        <v>1</v>
      </c>
      <c r="AE15">
        <v>0</v>
      </c>
      <c r="AF15" t="s">
        <v>127</v>
      </c>
      <c r="AG15">
        <v>1.1910000000000001</v>
      </c>
      <c r="AH15">
        <v>2</v>
      </c>
      <c r="AI15">
        <v>65174751</v>
      </c>
      <c r="AJ15">
        <v>15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</row>
    <row r="16" spans="1:44" x14ac:dyDescent="0.2">
      <c r="A16">
        <f>ROW(Source!A103)</f>
        <v>103</v>
      </c>
      <c r="B16">
        <v>65174764</v>
      </c>
      <c r="C16">
        <v>65174746</v>
      </c>
      <c r="D16">
        <v>59055768</v>
      </c>
      <c r="E16">
        <v>1</v>
      </c>
      <c r="F16">
        <v>1</v>
      </c>
      <c r="G16">
        <v>1</v>
      </c>
      <c r="H16">
        <v>2</v>
      </c>
      <c r="I16" t="s">
        <v>328</v>
      </c>
      <c r="J16" t="s">
        <v>329</v>
      </c>
      <c r="K16" t="s">
        <v>330</v>
      </c>
      <c r="L16">
        <v>1368</v>
      </c>
      <c r="N16">
        <v>1011</v>
      </c>
      <c r="O16" t="s">
        <v>311</v>
      </c>
      <c r="P16" t="s">
        <v>311</v>
      </c>
      <c r="Q16">
        <v>1</v>
      </c>
      <c r="X16">
        <v>1.32</v>
      </c>
      <c r="Y16">
        <v>0</v>
      </c>
      <c r="Z16">
        <v>477.92</v>
      </c>
      <c r="AA16">
        <v>490.55</v>
      </c>
      <c r="AB16">
        <v>0</v>
      </c>
      <c r="AC16">
        <v>0</v>
      </c>
      <c r="AD16">
        <v>1</v>
      </c>
      <c r="AE16">
        <v>0</v>
      </c>
      <c r="AF16" t="s">
        <v>127</v>
      </c>
      <c r="AG16">
        <v>0.39600000000000002</v>
      </c>
      <c r="AH16">
        <v>2</v>
      </c>
      <c r="AI16">
        <v>65174752</v>
      </c>
      <c r="AJ16">
        <v>16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</row>
    <row r="17" spans="1:44" x14ac:dyDescent="0.2">
      <c r="A17">
        <f>ROW(Source!A103)</f>
        <v>103</v>
      </c>
      <c r="B17">
        <v>65174765</v>
      </c>
      <c r="C17">
        <v>65174746</v>
      </c>
      <c r="D17">
        <v>59008937</v>
      </c>
      <c r="E17">
        <v>1</v>
      </c>
      <c r="F17">
        <v>1</v>
      </c>
      <c r="G17">
        <v>1</v>
      </c>
      <c r="H17">
        <v>3</v>
      </c>
      <c r="I17" t="s">
        <v>331</v>
      </c>
      <c r="J17" t="s">
        <v>332</v>
      </c>
      <c r="K17" t="s">
        <v>333</v>
      </c>
      <c r="L17">
        <v>1302</v>
      </c>
      <c r="N17">
        <v>1003</v>
      </c>
      <c r="O17" t="s">
        <v>334</v>
      </c>
      <c r="P17" t="s">
        <v>334</v>
      </c>
      <c r="Q17">
        <v>10</v>
      </c>
      <c r="X17">
        <v>9.6000000000000002E-2</v>
      </c>
      <c r="Y17">
        <v>37.71</v>
      </c>
      <c r="Z17">
        <v>0</v>
      </c>
      <c r="AA17">
        <v>0</v>
      </c>
      <c r="AB17">
        <v>0</v>
      </c>
      <c r="AC17">
        <v>0</v>
      </c>
      <c r="AD17">
        <v>1</v>
      </c>
      <c r="AE17">
        <v>0</v>
      </c>
      <c r="AF17" t="s">
        <v>126</v>
      </c>
      <c r="AG17">
        <v>0</v>
      </c>
      <c r="AH17">
        <v>2</v>
      </c>
      <c r="AI17">
        <v>65174753</v>
      </c>
      <c r="AJ17">
        <v>17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</row>
    <row r="18" spans="1:44" x14ac:dyDescent="0.2">
      <c r="A18">
        <f>ROW(Source!A103)</f>
        <v>103</v>
      </c>
      <c r="B18">
        <v>65174766</v>
      </c>
      <c r="C18">
        <v>65174746</v>
      </c>
      <c r="D18">
        <v>59016888</v>
      </c>
      <c r="E18">
        <v>1</v>
      </c>
      <c r="F18">
        <v>1</v>
      </c>
      <c r="G18">
        <v>1</v>
      </c>
      <c r="H18">
        <v>3</v>
      </c>
      <c r="I18" t="s">
        <v>335</v>
      </c>
      <c r="J18" t="s">
        <v>336</v>
      </c>
      <c r="K18" t="s">
        <v>337</v>
      </c>
      <c r="L18">
        <v>1348</v>
      </c>
      <c r="N18">
        <v>1009</v>
      </c>
      <c r="O18" t="s">
        <v>338</v>
      </c>
      <c r="P18" t="s">
        <v>338</v>
      </c>
      <c r="Q18">
        <v>1000</v>
      </c>
      <c r="X18">
        <v>1E-3</v>
      </c>
      <c r="Y18">
        <v>70310.45</v>
      </c>
      <c r="Z18">
        <v>0</v>
      </c>
      <c r="AA18">
        <v>0</v>
      </c>
      <c r="AB18">
        <v>0</v>
      </c>
      <c r="AC18">
        <v>0</v>
      </c>
      <c r="AD18">
        <v>1</v>
      </c>
      <c r="AE18">
        <v>0</v>
      </c>
      <c r="AF18" t="s">
        <v>126</v>
      </c>
      <c r="AG18">
        <v>0</v>
      </c>
      <c r="AH18">
        <v>2</v>
      </c>
      <c r="AI18">
        <v>65174754</v>
      </c>
      <c r="AJ18">
        <v>18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</row>
    <row r="19" spans="1:44" x14ac:dyDescent="0.2">
      <c r="A19">
        <f>ROW(Source!A103)</f>
        <v>103</v>
      </c>
      <c r="B19">
        <v>65174767</v>
      </c>
      <c r="C19">
        <v>65174746</v>
      </c>
      <c r="D19">
        <v>59017068</v>
      </c>
      <c r="E19">
        <v>1</v>
      </c>
      <c r="F19">
        <v>1</v>
      </c>
      <c r="G19">
        <v>1</v>
      </c>
      <c r="H19">
        <v>3</v>
      </c>
      <c r="I19" t="s">
        <v>339</v>
      </c>
      <c r="J19" t="s">
        <v>340</v>
      </c>
      <c r="K19" t="s">
        <v>341</v>
      </c>
      <c r="L19">
        <v>1348</v>
      </c>
      <c r="N19">
        <v>1009</v>
      </c>
      <c r="O19" t="s">
        <v>338</v>
      </c>
      <c r="P19" t="s">
        <v>338</v>
      </c>
      <c r="Q19">
        <v>1000</v>
      </c>
      <c r="X19">
        <v>0.01</v>
      </c>
      <c r="Y19">
        <v>55303.81</v>
      </c>
      <c r="Z19">
        <v>0</v>
      </c>
      <c r="AA19">
        <v>0</v>
      </c>
      <c r="AB19">
        <v>0</v>
      </c>
      <c r="AC19">
        <v>0</v>
      </c>
      <c r="AD19">
        <v>1</v>
      </c>
      <c r="AE19">
        <v>0</v>
      </c>
      <c r="AF19" t="s">
        <v>126</v>
      </c>
      <c r="AG19">
        <v>0</v>
      </c>
      <c r="AH19">
        <v>2</v>
      </c>
      <c r="AI19">
        <v>65174755</v>
      </c>
      <c r="AJ19">
        <v>19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</row>
    <row r="20" spans="1:44" x14ac:dyDescent="0.2">
      <c r="A20">
        <f>ROW(Source!A103)</f>
        <v>103</v>
      </c>
      <c r="B20">
        <v>65174768</v>
      </c>
      <c r="C20">
        <v>65174746</v>
      </c>
      <c r="D20">
        <v>59026221</v>
      </c>
      <c r="E20">
        <v>1</v>
      </c>
      <c r="F20">
        <v>1</v>
      </c>
      <c r="G20">
        <v>1</v>
      </c>
      <c r="H20">
        <v>3</v>
      </c>
      <c r="I20" t="s">
        <v>342</v>
      </c>
      <c r="J20" t="s">
        <v>343</v>
      </c>
      <c r="K20" t="s">
        <v>344</v>
      </c>
      <c r="L20">
        <v>1346</v>
      </c>
      <c r="N20">
        <v>1009</v>
      </c>
      <c r="O20" t="s">
        <v>117</v>
      </c>
      <c r="P20" t="s">
        <v>117</v>
      </c>
      <c r="Q20">
        <v>1</v>
      </c>
      <c r="X20">
        <v>0.25</v>
      </c>
      <c r="Y20">
        <v>79.88</v>
      </c>
      <c r="Z20">
        <v>0</v>
      </c>
      <c r="AA20">
        <v>0</v>
      </c>
      <c r="AB20">
        <v>0</v>
      </c>
      <c r="AC20">
        <v>0</v>
      </c>
      <c r="AD20">
        <v>1</v>
      </c>
      <c r="AE20">
        <v>0</v>
      </c>
      <c r="AF20" t="s">
        <v>126</v>
      </c>
      <c r="AG20">
        <v>0</v>
      </c>
      <c r="AH20">
        <v>2</v>
      </c>
      <c r="AI20">
        <v>65174756</v>
      </c>
      <c r="AJ20">
        <v>20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</row>
    <row r="21" spans="1:44" x14ac:dyDescent="0.2">
      <c r="A21">
        <f>ROW(Source!A103)</f>
        <v>103</v>
      </c>
      <c r="B21">
        <v>65174769</v>
      </c>
      <c r="C21">
        <v>65174746</v>
      </c>
      <c r="D21">
        <v>59026247</v>
      </c>
      <c r="E21">
        <v>1</v>
      </c>
      <c r="F21">
        <v>1</v>
      </c>
      <c r="G21">
        <v>1</v>
      </c>
      <c r="H21">
        <v>3</v>
      </c>
      <c r="I21" t="s">
        <v>345</v>
      </c>
      <c r="J21" t="s">
        <v>346</v>
      </c>
      <c r="K21" t="s">
        <v>347</v>
      </c>
      <c r="L21">
        <v>1348</v>
      </c>
      <c r="N21">
        <v>1009</v>
      </c>
      <c r="O21" t="s">
        <v>338</v>
      </c>
      <c r="P21" t="s">
        <v>338</v>
      </c>
      <c r="Q21">
        <v>1000</v>
      </c>
      <c r="X21">
        <v>6.0000000000000002E-5</v>
      </c>
      <c r="Y21">
        <v>82698.14</v>
      </c>
      <c r="Z21">
        <v>0</v>
      </c>
      <c r="AA21">
        <v>0</v>
      </c>
      <c r="AB21">
        <v>0</v>
      </c>
      <c r="AC21">
        <v>0</v>
      </c>
      <c r="AD21">
        <v>1</v>
      </c>
      <c r="AE21">
        <v>0</v>
      </c>
      <c r="AF21" t="s">
        <v>126</v>
      </c>
      <c r="AG21">
        <v>0</v>
      </c>
      <c r="AH21">
        <v>2</v>
      </c>
      <c r="AI21">
        <v>65174757</v>
      </c>
      <c r="AJ21">
        <v>21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</row>
    <row r="22" spans="1:44" x14ac:dyDescent="0.2">
      <c r="A22">
        <f>ROW(Source!A103)</f>
        <v>103</v>
      </c>
      <c r="B22">
        <v>65174770</v>
      </c>
      <c r="C22">
        <v>65174746</v>
      </c>
      <c r="D22">
        <v>58938947</v>
      </c>
      <c r="E22">
        <v>109</v>
      </c>
      <c r="F22">
        <v>1</v>
      </c>
      <c r="G22">
        <v>1</v>
      </c>
      <c r="H22">
        <v>3</v>
      </c>
      <c r="I22" t="s">
        <v>348</v>
      </c>
      <c r="J22" t="s">
        <v>3</v>
      </c>
      <c r="K22" t="s">
        <v>349</v>
      </c>
      <c r="L22">
        <v>3277935</v>
      </c>
      <c r="N22">
        <v>1013</v>
      </c>
      <c r="O22" t="s">
        <v>350</v>
      </c>
      <c r="P22" t="s">
        <v>350</v>
      </c>
      <c r="Q22">
        <v>1</v>
      </c>
      <c r="X22">
        <v>2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 t="s">
        <v>126</v>
      </c>
      <c r="AG22">
        <v>0</v>
      </c>
      <c r="AH22">
        <v>2</v>
      </c>
      <c r="AI22">
        <v>65174758</v>
      </c>
      <c r="AJ22">
        <v>22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</row>
    <row r="23" spans="1:44" x14ac:dyDescent="0.2">
      <c r="A23">
        <f>ROW(Source!A104)</f>
        <v>104</v>
      </c>
      <c r="B23">
        <v>65174781</v>
      </c>
      <c r="C23">
        <v>65174771</v>
      </c>
      <c r="D23">
        <v>37064878</v>
      </c>
      <c r="E23">
        <v>112</v>
      </c>
      <c r="F23">
        <v>1</v>
      </c>
      <c r="G23">
        <v>1</v>
      </c>
      <c r="H23">
        <v>1</v>
      </c>
      <c r="I23" t="s">
        <v>316</v>
      </c>
      <c r="J23" t="s">
        <v>3</v>
      </c>
      <c r="K23" t="s">
        <v>351</v>
      </c>
      <c r="L23">
        <v>1191</v>
      </c>
      <c r="N23">
        <v>1013</v>
      </c>
      <c r="O23" t="s">
        <v>296</v>
      </c>
      <c r="P23" t="s">
        <v>296</v>
      </c>
      <c r="Q23">
        <v>1</v>
      </c>
      <c r="X23">
        <v>11.2</v>
      </c>
      <c r="Y23">
        <v>0</v>
      </c>
      <c r="Z23">
        <v>0</v>
      </c>
      <c r="AA23">
        <v>0</v>
      </c>
      <c r="AB23">
        <v>479.56</v>
      </c>
      <c r="AC23">
        <v>0</v>
      </c>
      <c r="AD23">
        <v>1</v>
      </c>
      <c r="AE23">
        <v>1</v>
      </c>
      <c r="AF23" t="s">
        <v>127</v>
      </c>
      <c r="AG23">
        <v>3.36</v>
      </c>
      <c r="AH23">
        <v>2</v>
      </c>
      <c r="AI23">
        <v>65174772</v>
      </c>
      <c r="AJ23">
        <v>23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</row>
    <row r="24" spans="1:44" x14ac:dyDescent="0.2">
      <c r="A24">
        <f>ROW(Source!A104)</f>
        <v>104</v>
      </c>
      <c r="B24">
        <v>65174782</v>
      </c>
      <c r="C24">
        <v>65174771</v>
      </c>
      <c r="D24">
        <v>37064876</v>
      </c>
      <c r="E24">
        <v>112</v>
      </c>
      <c r="F24">
        <v>1</v>
      </c>
      <c r="G24">
        <v>1</v>
      </c>
      <c r="H24">
        <v>1</v>
      </c>
      <c r="I24" t="s">
        <v>306</v>
      </c>
      <c r="J24" t="s">
        <v>3</v>
      </c>
      <c r="K24" t="s">
        <v>307</v>
      </c>
      <c r="L24">
        <v>1191</v>
      </c>
      <c r="N24">
        <v>1013</v>
      </c>
      <c r="O24" t="s">
        <v>296</v>
      </c>
      <c r="P24" t="s">
        <v>296</v>
      </c>
      <c r="Q24">
        <v>1</v>
      </c>
      <c r="X24">
        <v>0.02</v>
      </c>
      <c r="Y24">
        <v>0</v>
      </c>
      <c r="Z24">
        <v>0</v>
      </c>
      <c r="AA24">
        <v>0</v>
      </c>
      <c r="AB24">
        <v>0</v>
      </c>
      <c r="AC24">
        <v>0</v>
      </c>
      <c r="AD24">
        <v>1</v>
      </c>
      <c r="AE24">
        <v>2</v>
      </c>
      <c r="AF24" t="s">
        <v>127</v>
      </c>
      <c r="AG24">
        <v>6.0000000000000001E-3</v>
      </c>
      <c r="AH24">
        <v>2</v>
      </c>
      <c r="AI24">
        <v>65174773</v>
      </c>
      <c r="AJ24">
        <v>24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</row>
    <row r="25" spans="1:44" x14ac:dyDescent="0.2">
      <c r="A25">
        <f>ROW(Source!A104)</f>
        <v>104</v>
      </c>
      <c r="B25">
        <v>65174783</v>
      </c>
      <c r="C25">
        <v>65174771</v>
      </c>
      <c r="D25">
        <v>64001515</v>
      </c>
      <c r="E25">
        <v>1</v>
      </c>
      <c r="F25">
        <v>1</v>
      </c>
      <c r="G25">
        <v>1</v>
      </c>
      <c r="H25">
        <v>2</v>
      </c>
      <c r="I25" t="s">
        <v>318</v>
      </c>
      <c r="J25" t="s">
        <v>319</v>
      </c>
      <c r="K25" t="s">
        <v>320</v>
      </c>
      <c r="L25">
        <v>1368</v>
      </c>
      <c r="N25">
        <v>1011</v>
      </c>
      <c r="O25" t="s">
        <v>311</v>
      </c>
      <c r="P25" t="s">
        <v>311</v>
      </c>
      <c r="Q25">
        <v>1</v>
      </c>
      <c r="X25">
        <v>0.01</v>
      </c>
      <c r="Y25">
        <v>0</v>
      </c>
      <c r="Z25">
        <v>1551.19</v>
      </c>
      <c r="AA25">
        <v>658.94</v>
      </c>
      <c r="AB25">
        <v>0</v>
      </c>
      <c r="AC25">
        <v>0</v>
      </c>
      <c r="AD25">
        <v>1</v>
      </c>
      <c r="AE25">
        <v>0</v>
      </c>
      <c r="AF25" t="s">
        <v>127</v>
      </c>
      <c r="AG25">
        <v>3.0000000000000001E-3</v>
      </c>
      <c r="AH25">
        <v>2</v>
      </c>
      <c r="AI25">
        <v>65174774</v>
      </c>
      <c r="AJ25">
        <v>25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</row>
    <row r="26" spans="1:44" x14ac:dyDescent="0.2">
      <c r="A26">
        <f>ROW(Source!A104)</f>
        <v>104</v>
      </c>
      <c r="B26">
        <v>65174784</v>
      </c>
      <c r="C26">
        <v>65174771</v>
      </c>
      <c r="D26">
        <v>64002400</v>
      </c>
      <c r="E26">
        <v>1</v>
      </c>
      <c r="F26">
        <v>1</v>
      </c>
      <c r="G26">
        <v>1</v>
      </c>
      <c r="H26">
        <v>2</v>
      </c>
      <c r="I26" t="s">
        <v>328</v>
      </c>
      <c r="J26" t="s">
        <v>329</v>
      </c>
      <c r="K26" t="s">
        <v>330</v>
      </c>
      <c r="L26">
        <v>1368</v>
      </c>
      <c r="N26">
        <v>1011</v>
      </c>
      <c r="O26" t="s">
        <v>311</v>
      </c>
      <c r="P26" t="s">
        <v>311</v>
      </c>
      <c r="Q26">
        <v>1</v>
      </c>
      <c r="X26">
        <v>0.01</v>
      </c>
      <c r="Y26">
        <v>0</v>
      </c>
      <c r="Z26">
        <v>477.92</v>
      </c>
      <c r="AA26">
        <v>490.55</v>
      </c>
      <c r="AB26">
        <v>0</v>
      </c>
      <c r="AC26">
        <v>0</v>
      </c>
      <c r="AD26">
        <v>1</v>
      </c>
      <c r="AE26">
        <v>0</v>
      </c>
      <c r="AF26" t="s">
        <v>127</v>
      </c>
      <c r="AG26">
        <v>3.0000000000000001E-3</v>
      </c>
      <c r="AH26">
        <v>2</v>
      </c>
      <c r="AI26">
        <v>65174775</v>
      </c>
      <c r="AJ26">
        <v>26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</row>
    <row r="27" spans="1:44" x14ac:dyDescent="0.2">
      <c r="A27">
        <f>ROW(Source!A104)</f>
        <v>104</v>
      </c>
      <c r="B27">
        <v>65174785</v>
      </c>
      <c r="C27">
        <v>65174771</v>
      </c>
      <c r="D27">
        <v>63953063</v>
      </c>
      <c r="E27">
        <v>1</v>
      </c>
      <c r="F27">
        <v>1</v>
      </c>
      <c r="G27">
        <v>1</v>
      </c>
      <c r="H27">
        <v>3</v>
      </c>
      <c r="I27" t="s">
        <v>352</v>
      </c>
      <c r="J27" t="s">
        <v>353</v>
      </c>
      <c r="K27" t="s">
        <v>354</v>
      </c>
      <c r="L27">
        <v>1348</v>
      </c>
      <c r="N27">
        <v>1009</v>
      </c>
      <c r="O27" t="s">
        <v>338</v>
      </c>
      <c r="P27" t="s">
        <v>338</v>
      </c>
      <c r="Q27">
        <v>1000</v>
      </c>
      <c r="X27">
        <v>8.0000000000000004E-4</v>
      </c>
      <c r="Y27">
        <v>116448.72</v>
      </c>
      <c r="Z27">
        <v>0</v>
      </c>
      <c r="AA27">
        <v>0</v>
      </c>
      <c r="AB27">
        <v>0</v>
      </c>
      <c r="AC27">
        <v>0</v>
      </c>
      <c r="AD27">
        <v>1</v>
      </c>
      <c r="AE27">
        <v>0</v>
      </c>
      <c r="AF27" t="s">
        <v>126</v>
      </c>
      <c r="AG27">
        <v>0</v>
      </c>
      <c r="AH27">
        <v>2</v>
      </c>
      <c r="AI27">
        <v>65174776</v>
      </c>
      <c r="AJ27">
        <v>27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</row>
    <row r="28" spans="1:44" x14ac:dyDescent="0.2">
      <c r="A28">
        <f>ROW(Source!A104)</f>
        <v>104</v>
      </c>
      <c r="B28">
        <v>65174786</v>
      </c>
      <c r="C28">
        <v>65174771</v>
      </c>
      <c r="D28">
        <v>63953080</v>
      </c>
      <c r="E28">
        <v>1</v>
      </c>
      <c r="F28">
        <v>1</v>
      </c>
      <c r="G28">
        <v>1</v>
      </c>
      <c r="H28">
        <v>3</v>
      </c>
      <c r="I28" t="s">
        <v>355</v>
      </c>
      <c r="J28" t="s">
        <v>356</v>
      </c>
      <c r="K28" t="s">
        <v>357</v>
      </c>
      <c r="L28">
        <v>1348</v>
      </c>
      <c r="N28">
        <v>1009</v>
      </c>
      <c r="O28" t="s">
        <v>338</v>
      </c>
      <c r="P28" t="s">
        <v>338</v>
      </c>
      <c r="Q28">
        <v>1000</v>
      </c>
      <c r="X28">
        <v>2.0000000000000002E-5</v>
      </c>
      <c r="Y28">
        <v>81827.199999999997</v>
      </c>
      <c r="Z28">
        <v>0</v>
      </c>
      <c r="AA28">
        <v>0</v>
      </c>
      <c r="AB28">
        <v>0</v>
      </c>
      <c r="AC28">
        <v>0</v>
      </c>
      <c r="AD28">
        <v>1</v>
      </c>
      <c r="AE28">
        <v>0</v>
      </c>
      <c r="AF28" t="s">
        <v>126</v>
      </c>
      <c r="AG28">
        <v>0</v>
      </c>
      <c r="AH28">
        <v>2</v>
      </c>
      <c r="AI28">
        <v>65174777</v>
      </c>
      <c r="AJ28">
        <v>28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</row>
    <row r="29" spans="1:44" x14ac:dyDescent="0.2">
      <c r="A29">
        <f>ROW(Source!A104)</f>
        <v>104</v>
      </c>
      <c r="B29">
        <v>65174787</v>
      </c>
      <c r="C29">
        <v>65174771</v>
      </c>
      <c r="D29">
        <v>63954970</v>
      </c>
      <c r="E29">
        <v>1</v>
      </c>
      <c r="F29">
        <v>1</v>
      </c>
      <c r="G29">
        <v>1</v>
      </c>
      <c r="H29">
        <v>3</v>
      </c>
      <c r="I29" t="s">
        <v>331</v>
      </c>
      <c r="J29" t="s">
        <v>332</v>
      </c>
      <c r="K29" t="s">
        <v>333</v>
      </c>
      <c r="L29">
        <v>1302</v>
      </c>
      <c r="N29">
        <v>1003</v>
      </c>
      <c r="O29" t="s">
        <v>334</v>
      </c>
      <c r="P29" t="s">
        <v>334</v>
      </c>
      <c r="Q29">
        <v>10</v>
      </c>
      <c r="X29">
        <v>2.4E-2</v>
      </c>
      <c r="Y29">
        <v>37.71</v>
      </c>
      <c r="Z29">
        <v>0</v>
      </c>
      <c r="AA29">
        <v>0</v>
      </c>
      <c r="AB29">
        <v>0</v>
      </c>
      <c r="AC29">
        <v>0</v>
      </c>
      <c r="AD29">
        <v>1</v>
      </c>
      <c r="AE29">
        <v>0</v>
      </c>
      <c r="AF29" t="s">
        <v>126</v>
      </c>
      <c r="AG29">
        <v>0</v>
      </c>
      <c r="AH29">
        <v>2</v>
      </c>
      <c r="AI29">
        <v>65174778</v>
      </c>
      <c r="AJ29">
        <v>29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</row>
    <row r="30" spans="1:44" x14ac:dyDescent="0.2">
      <c r="A30">
        <f>ROW(Source!A104)</f>
        <v>104</v>
      </c>
      <c r="B30">
        <v>65174788</v>
      </c>
      <c r="C30">
        <v>65174771</v>
      </c>
      <c r="D30">
        <v>63979957</v>
      </c>
      <c r="E30">
        <v>1</v>
      </c>
      <c r="F30">
        <v>1</v>
      </c>
      <c r="G30">
        <v>1</v>
      </c>
      <c r="H30">
        <v>3</v>
      </c>
      <c r="I30" t="s">
        <v>358</v>
      </c>
      <c r="J30" t="s">
        <v>359</v>
      </c>
      <c r="K30" t="s">
        <v>360</v>
      </c>
      <c r="L30">
        <v>1425</v>
      </c>
      <c r="N30">
        <v>1013</v>
      </c>
      <c r="O30" t="s">
        <v>185</v>
      </c>
      <c r="P30" t="s">
        <v>185</v>
      </c>
      <c r="Q30">
        <v>1</v>
      </c>
      <c r="X30">
        <v>3.1E-2</v>
      </c>
      <c r="Y30">
        <v>28612.6</v>
      </c>
      <c r="Z30">
        <v>0</v>
      </c>
      <c r="AA30">
        <v>0</v>
      </c>
      <c r="AB30">
        <v>0</v>
      </c>
      <c r="AC30">
        <v>0</v>
      </c>
      <c r="AD30">
        <v>1</v>
      </c>
      <c r="AE30">
        <v>0</v>
      </c>
      <c r="AF30" t="s">
        <v>126</v>
      </c>
      <c r="AG30">
        <v>0</v>
      </c>
      <c r="AH30">
        <v>2</v>
      </c>
      <c r="AI30">
        <v>65174779</v>
      </c>
      <c r="AJ30">
        <v>30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</row>
    <row r="31" spans="1:44" x14ac:dyDescent="0.2">
      <c r="A31">
        <f>ROW(Source!A104)</f>
        <v>104</v>
      </c>
      <c r="B31">
        <v>65174789</v>
      </c>
      <c r="C31">
        <v>65174771</v>
      </c>
      <c r="D31">
        <v>63889959</v>
      </c>
      <c r="E31">
        <v>112</v>
      </c>
      <c r="F31">
        <v>1</v>
      </c>
      <c r="G31">
        <v>1</v>
      </c>
      <c r="H31">
        <v>3</v>
      </c>
      <c r="I31" t="s">
        <v>348</v>
      </c>
      <c r="J31" t="s">
        <v>3</v>
      </c>
      <c r="K31" t="s">
        <v>349</v>
      </c>
      <c r="L31">
        <v>3277935</v>
      </c>
      <c r="N31">
        <v>1013</v>
      </c>
      <c r="O31" t="s">
        <v>350</v>
      </c>
      <c r="P31" t="s">
        <v>350</v>
      </c>
      <c r="Q31">
        <v>1</v>
      </c>
      <c r="X31">
        <v>2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 t="s">
        <v>126</v>
      </c>
      <c r="AG31">
        <v>0</v>
      </c>
      <c r="AH31">
        <v>2</v>
      </c>
      <c r="AI31">
        <v>65174780</v>
      </c>
      <c r="AJ31">
        <v>31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</row>
    <row r="32" spans="1:44" x14ac:dyDescent="0.2">
      <c r="A32">
        <f>ROW(Source!A140)</f>
        <v>140</v>
      </c>
      <c r="B32">
        <v>65174851</v>
      </c>
      <c r="C32">
        <v>65174847</v>
      </c>
      <c r="D32">
        <v>37064878</v>
      </c>
      <c r="E32">
        <v>109</v>
      </c>
      <c r="F32">
        <v>1</v>
      </c>
      <c r="G32">
        <v>1</v>
      </c>
      <c r="H32">
        <v>1</v>
      </c>
      <c r="I32" t="s">
        <v>316</v>
      </c>
      <c r="J32" t="s">
        <v>3</v>
      </c>
      <c r="K32" t="s">
        <v>317</v>
      </c>
      <c r="L32">
        <v>1191</v>
      </c>
      <c r="N32">
        <v>1013</v>
      </c>
      <c r="O32" t="s">
        <v>296</v>
      </c>
      <c r="P32" t="s">
        <v>296</v>
      </c>
      <c r="Q32">
        <v>1</v>
      </c>
      <c r="X32">
        <v>5.3</v>
      </c>
      <c r="Y32">
        <v>0</v>
      </c>
      <c r="Z32">
        <v>0</v>
      </c>
      <c r="AA32">
        <v>0</v>
      </c>
      <c r="AB32">
        <v>479.56</v>
      </c>
      <c r="AC32">
        <v>0</v>
      </c>
      <c r="AD32">
        <v>1</v>
      </c>
      <c r="AE32">
        <v>1</v>
      </c>
      <c r="AF32" t="s">
        <v>3</v>
      </c>
      <c r="AG32">
        <v>5.3</v>
      </c>
      <c r="AH32">
        <v>2</v>
      </c>
      <c r="AI32">
        <v>65174848</v>
      </c>
      <c r="AJ32">
        <v>32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</row>
    <row r="33" spans="1:44" x14ac:dyDescent="0.2">
      <c r="A33">
        <f>ROW(Source!A140)</f>
        <v>140</v>
      </c>
      <c r="B33">
        <v>65174852</v>
      </c>
      <c r="C33">
        <v>65174847</v>
      </c>
      <c r="D33">
        <v>37064876</v>
      </c>
      <c r="E33">
        <v>109</v>
      </c>
      <c r="F33">
        <v>1</v>
      </c>
      <c r="G33">
        <v>1</v>
      </c>
      <c r="H33">
        <v>1</v>
      </c>
      <c r="I33" t="s">
        <v>306</v>
      </c>
      <c r="J33" t="s">
        <v>3</v>
      </c>
      <c r="K33" t="s">
        <v>307</v>
      </c>
      <c r="L33">
        <v>1191</v>
      </c>
      <c r="N33">
        <v>1013</v>
      </c>
      <c r="O33" t="s">
        <v>296</v>
      </c>
      <c r="P33" t="s">
        <v>296</v>
      </c>
      <c r="Q33">
        <v>1</v>
      </c>
      <c r="X33">
        <v>3.9</v>
      </c>
      <c r="Y33">
        <v>0</v>
      </c>
      <c r="Z33">
        <v>0</v>
      </c>
      <c r="AA33">
        <v>0</v>
      </c>
      <c r="AB33">
        <v>0</v>
      </c>
      <c r="AC33">
        <v>0</v>
      </c>
      <c r="AD33">
        <v>1</v>
      </c>
      <c r="AE33">
        <v>2</v>
      </c>
      <c r="AF33" t="s">
        <v>3</v>
      </c>
      <c r="AG33">
        <v>3.9</v>
      </c>
      <c r="AH33">
        <v>2</v>
      </c>
      <c r="AI33">
        <v>65174849</v>
      </c>
      <c r="AJ33">
        <v>33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</row>
    <row r="34" spans="1:44" x14ac:dyDescent="0.2">
      <c r="A34">
        <f>ROW(Source!A140)</f>
        <v>140</v>
      </c>
      <c r="B34">
        <v>65174853</v>
      </c>
      <c r="C34">
        <v>65174847</v>
      </c>
      <c r="D34">
        <v>59055768</v>
      </c>
      <c r="E34">
        <v>1</v>
      </c>
      <c r="F34">
        <v>1</v>
      </c>
      <c r="G34">
        <v>1</v>
      </c>
      <c r="H34">
        <v>2</v>
      </c>
      <c r="I34" t="s">
        <v>328</v>
      </c>
      <c r="J34" t="s">
        <v>329</v>
      </c>
      <c r="K34" t="s">
        <v>330</v>
      </c>
      <c r="L34">
        <v>1368</v>
      </c>
      <c r="N34">
        <v>1011</v>
      </c>
      <c r="O34" t="s">
        <v>311</v>
      </c>
      <c r="P34" t="s">
        <v>311</v>
      </c>
      <c r="Q34">
        <v>1</v>
      </c>
      <c r="X34">
        <v>3.9</v>
      </c>
      <c r="Y34">
        <v>0</v>
      </c>
      <c r="Z34">
        <v>477.92</v>
      </c>
      <c r="AA34">
        <v>490.55</v>
      </c>
      <c r="AB34">
        <v>0</v>
      </c>
      <c r="AC34">
        <v>0</v>
      </c>
      <c r="AD34">
        <v>1</v>
      </c>
      <c r="AE34">
        <v>0</v>
      </c>
      <c r="AF34" t="s">
        <v>3</v>
      </c>
      <c r="AG34">
        <v>3.9</v>
      </c>
      <c r="AH34">
        <v>2</v>
      </c>
      <c r="AI34">
        <v>65174850</v>
      </c>
      <c r="AJ34">
        <v>34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</row>
    <row r="35" spans="1:44" x14ac:dyDescent="0.2">
      <c r="A35">
        <f>ROW(Source!A140)</f>
        <v>140</v>
      </c>
      <c r="B35">
        <v>65174854</v>
      </c>
      <c r="C35">
        <v>65174847</v>
      </c>
      <c r="D35">
        <v>58938947</v>
      </c>
      <c r="E35">
        <v>109</v>
      </c>
      <c r="F35">
        <v>1</v>
      </c>
      <c r="G35">
        <v>1</v>
      </c>
      <c r="H35">
        <v>3</v>
      </c>
      <c r="I35" t="s">
        <v>348</v>
      </c>
      <c r="J35" t="s">
        <v>3</v>
      </c>
      <c r="K35" t="s">
        <v>349</v>
      </c>
      <c r="L35">
        <v>3277935</v>
      </c>
      <c r="N35">
        <v>1013</v>
      </c>
      <c r="O35" t="s">
        <v>350</v>
      </c>
      <c r="P35" t="s">
        <v>350</v>
      </c>
      <c r="Q35">
        <v>1</v>
      </c>
      <c r="X35">
        <v>2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 t="s">
        <v>3</v>
      </c>
      <c r="AG35">
        <v>2</v>
      </c>
      <c r="AH35">
        <v>3</v>
      </c>
      <c r="AI35">
        <v>-1</v>
      </c>
      <c r="AJ35" t="s">
        <v>3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</row>
    <row r="36" spans="1:44" x14ac:dyDescent="0.2">
      <c r="A36">
        <f>ROW(Source!A141)</f>
        <v>141</v>
      </c>
      <c r="B36">
        <v>65174860</v>
      </c>
      <c r="C36">
        <v>65174855</v>
      </c>
      <c r="D36">
        <v>37064878</v>
      </c>
      <c r="E36">
        <v>112</v>
      </c>
      <c r="F36">
        <v>1</v>
      </c>
      <c r="G36">
        <v>1</v>
      </c>
      <c r="H36">
        <v>1</v>
      </c>
      <c r="I36" t="s">
        <v>316</v>
      </c>
      <c r="J36" t="s">
        <v>3</v>
      </c>
      <c r="K36" t="s">
        <v>351</v>
      </c>
      <c r="L36">
        <v>1191</v>
      </c>
      <c r="N36">
        <v>1013</v>
      </c>
      <c r="O36" t="s">
        <v>296</v>
      </c>
      <c r="P36" t="s">
        <v>296</v>
      </c>
      <c r="Q36">
        <v>1</v>
      </c>
      <c r="X36">
        <v>1.99</v>
      </c>
      <c r="Y36">
        <v>0</v>
      </c>
      <c r="Z36">
        <v>0</v>
      </c>
      <c r="AA36">
        <v>0</v>
      </c>
      <c r="AB36">
        <v>479.56</v>
      </c>
      <c r="AC36">
        <v>0</v>
      </c>
      <c r="AD36">
        <v>1</v>
      </c>
      <c r="AE36">
        <v>1</v>
      </c>
      <c r="AF36" t="s">
        <v>3</v>
      </c>
      <c r="AG36">
        <v>1.99</v>
      </c>
      <c r="AH36">
        <v>2</v>
      </c>
      <c r="AI36">
        <v>65174856</v>
      </c>
      <c r="AJ36">
        <v>35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</row>
    <row r="37" spans="1:44" x14ac:dyDescent="0.2">
      <c r="A37">
        <f>ROW(Source!A141)</f>
        <v>141</v>
      </c>
      <c r="B37">
        <v>65174861</v>
      </c>
      <c r="C37">
        <v>65174855</v>
      </c>
      <c r="D37">
        <v>37064876</v>
      </c>
      <c r="E37">
        <v>112</v>
      </c>
      <c r="F37">
        <v>1</v>
      </c>
      <c r="G37">
        <v>1</v>
      </c>
      <c r="H37">
        <v>1</v>
      </c>
      <c r="I37" t="s">
        <v>306</v>
      </c>
      <c r="J37" t="s">
        <v>3</v>
      </c>
      <c r="K37" t="s">
        <v>307</v>
      </c>
      <c r="L37">
        <v>1191</v>
      </c>
      <c r="N37">
        <v>1013</v>
      </c>
      <c r="O37" t="s">
        <v>296</v>
      </c>
      <c r="P37" t="s">
        <v>296</v>
      </c>
      <c r="Q37">
        <v>1</v>
      </c>
      <c r="X37">
        <v>0.08</v>
      </c>
      <c r="Y37">
        <v>0</v>
      </c>
      <c r="Z37">
        <v>0</v>
      </c>
      <c r="AA37">
        <v>0</v>
      </c>
      <c r="AB37">
        <v>0</v>
      </c>
      <c r="AC37">
        <v>0</v>
      </c>
      <c r="AD37">
        <v>1</v>
      </c>
      <c r="AE37">
        <v>2</v>
      </c>
      <c r="AF37" t="s">
        <v>3</v>
      </c>
      <c r="AG37">
        <v>0.08</v>
      </c>
      <c r="AH37">
        <v>2</v>
      </c>
      <c r="AI37">
        <v>65174857</v>
      </c>
      <c r="AJ37">
        <v>36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</row>
    <row r="38" spans="1:44" x14ac:dyDescent="0.2">
      <c r="A38">
        <f>ROW(Source!A141)</f>
        <v>141</v>
      </c>
      <c r="B38">
        <v>65174862</v>
      </c>
      <c r="C38">
        <v>65174855</v>
      </c>
      <c r="D38">
        <v>64002400</v>
      </c>
      <c r="E38">
        <v>1</v>
      </c>
      <c r="F38">
        <v>1</v>
      </c>
      <c r="G38">
        <v>1</v>
      </c>
      <c r="H38">
        <v>2</v>
      </c>
      <c r="I38" t="s">
        <v>328</v>
      </c>
      <c r="J38" t="s">
        <v>329</v>
      </c>
      <c r="K38" t="s">
        <v>330</v>
      </c>
      <c r="L38">
        <v>1368</v>
      </c>
      <c r="N38">
        <v>1011</v>
      </c>
      <c r="O38" t="s">
        <v>311</v>
      </c>
      <c r="P38" t="s">
        <v>311</v>
      </c>
      <c r="Q38">
        <v>1</v>
      </c>
      <c r="X38">
        <v>0.08</v>
      </c>
      <c r="Y38">
        <v>0</v>
      </c>
      <c r="Z38">
        <v>477.92</v>
      </c>
      <c r="AA38">
        <v>490.55</v>
      </c>
      <c r="AB38">
        <v>0</v>
      </c>
      <c r="AC38">
        <v>0</v>
      </c>
      <c r="AD38">
        <v>1</v>
      </c>
      <c r="AE38">
        <v>0</v>
      </c>
      <c r="AF38" t="s">
        <v>3</v>
      </c>
      <c r="AG38">
        <v>0.08</v>
      </c>
      <c r="AH38">
        <v>2</v>
      </c>
      <c r="AI38">
        <v>65174858</v>
      </c>
      <c r="AJ38">
        <v>37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</row>
    <row r="39" spans="1:44" x14ac:dyDescent="0.2">
      <c r="A39">
        <f>ROW(Source!A141)</f>
        <v>141</v>
      </c>
      <c r="B39">
        <v>65174863</v>
      </c>
      <c r="C39">
        <v>65174855</v>
      </c>
      <c r="D39">
        <v>63889959</v>
      </c>
      <c r="E39">
        <v>112</v>
      </c>
      <c r="F39">
        <v>1</v>
      </c>
      <c r="G39">
        <v>1</v>
      </c>
      <c r="H39">
        <v>3</v>
      </c>
      <c r="I39" t="s">
        <v>348</v>
      </c>
      <c r="J39" t="s">
        <v>3</v>
      </c>
      <c r="K39" t="s">
        <v>349</v>
      </c>
      <c r="L39">
        <v>3277935</v>
      </c>
      <c r="N39">
        <v>1013</v>
      </c>
      <c r="O39" t="s">
        <v>350</v>
      </c>
      <c r="P39" t="s">
        <v>350</v>
      </c>
      <c r="Q39">
        <v>1</v>
      </c>
      <c r="X39">
        <v>2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 t="s">
        <v>3</v>
      </c>
      <c r="AG39">
        <v>2</v>
      </c>
      <c r="AH39">
        <v>2</v>
      </c>
      <c r="AI39">
        <v>65174859</v>
      </c>
      <c r="AJ39">
        <v>38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</row>
    <row r="40" spans="1:44" x14ac:dyDescent="0.2">
      <c r="A40">
        <f>ROW(Source!A142)</f>
        <v>142</v>
      </c>
      <c r="B40">
        <v>65174877</v>
      </c>
      <c r="C40">
        <v>65174864</v>
      </c>
      <c r="D40">
        <v>37064878</v>
      </c>
      <c r="E40">
        <v>109</v>
      </c>
      <c r="F40">
        <v>1</v>
      </c>
      <c r="G40">
        <v>1</v>
      </c>
      <c r="H40">
        <v>1</v>
      </c>
      <c r="I40" t="s">
        <v>316</v>
      </c>
      <c r="J40" t="s">
        <v>3</v>
      </c>
      <c r="K40" t="s">
        <v>317</v>
      </c>
      <c r="L40">
        <v>1191</v>
      </c>
      <c r="N40">
        <v>1013</v>
      </c>
      <c r="O40" t="s">
        <v>296</v>
      </c>
      <c r="P40" t="s">
        <v>296</v>
      </c>
      <c r="Q40">
        <v>1</v>
      </c>
      <c r="X40">
        <v>17.440000000000001</v>
      </c>
      <c r="Y40">
        <v>0</v>
      </c>
      <c r="Z40">
        <v>0</v>
      </c>
      <c r="AA40">
        <v>0</v>
      </c>
      <c r="AB40">
        <v>479.56</v>
      </c>
      <c r="AC40">
        <v>0</v>
      </c>
      <c r="AD40">
        <v>1</v>
      </c>
      <c r="AE40">
        <v>1</v>
      </c>
      <c r="AF40" t="s">
        <v>3</v>
      </c>
      <c r="AG40">
        <v>17.440000000000001</v>
      </c>
      <c r="AH40">
        <v>2</v>
      </c>
      <c r="AI40">
        <v>65174865</v>
      </c>
      <c r="AJ40">
        <v>39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</row>
    <row r="41" spans="1:44" x14ac:dyDescent="0.2">
      <c r="A41">
        <f>ROW(Source!A142)</f>
        <v>142</v>
      </c>
      <c r="B41">
        <v>65174878</v>
      </c>
      <c r="C41">
        <v>65174864</v>
      </c>
      <c r="D41">
        <v>37064876</v>
      </c>
      <c r="E41">
        <v>109</v>
      </c>
      <c r="F41">
        <v>1</v>
      </c>
      <c r="G41">
        <v>1</v>
      </c>
      <c r="H41">
        <v>1</v>
      </c>
      <c r="I41" t="s">
        <v>306</v>
      </c>
      <c r="J41" t="s">
        <v>3</v>
      </c>
      <c r="K41" t="s">
        <v>307</v>
      </c>
      <c r="L41">
        <v>1191</v>
      </c>
      <c r="N41">
        <v>1013</v>
      </c>
      <c r="O41" t="s">
        <v>296</v>
      </c>
      <c r="P41" t="s">
        <v>296</v>
      </c>
      <c r="Q41">
        <v>1</v>
      </c>
      <c r="X41">
        <v>2.64</v>
      </c>
      <c r="Y41">
        <v>0</v>
      </c>
      <c r="Z41">
        <v>0</v>
      </c>
      <c r="AA41">
        <v>0</v>
      </c>
      <c r="AB41">
        <v>0</v>
      </c>
      <c r="AC41">
        <v>0</v>
      </c>
      <c r="AD41">
        <v>1</v>
      </c>
      <c r="AE41">
        <v>2</v>
      </c>
      <c r="AF41" t="s">
        <v>3</v>
      </c>
      <c r="AG41">
        <v>2.64</v>
      </c>
      <c r="AH41">
        <v>2</v>
      </c>
      <c r="AI41">
        <v>65174866</v>
      </c>
      <c r="AJ41">
        <v>40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</row>
    <row r="42" spans="1:44" x14ac:dyDescent="0.2">
      <c r="A42">
        <f>ROW(Source!A142)</f>
        <v>142</v>
      </c>
      <c r="B42">
        <v>65174879</v>
      </c>
      <c r="C42">
        <v>65174864</v>
      </c>
      <c r="D42">
        <v>59054880</v>
      </c>
      <c r="E42">
        <v>1</v>
      </c>
      <c r="F42">
        <v>1</v>
      </c>
      <c r="G42">
        <v>1</v>
      </c>
      <c r="H42">
        <v>2</v>
      </c>
      <c r="I42" t="s">
        <v>318</v>
      </c>
      <c r="J42" t="s">
        <v>319</v>
      </c>
      <c r="K42" t="s">
        <v>320</v>
      </c>
      <c r="L42">
        <v>1368</v>
      </c>
      <c r="N42">
        <v>1011</v>
      </c>
      <c r="O42" t="s">
        <v>311</v>
      </c>
      <c r="P42" t="s">
        <v>311</v>
      </c>
      <c r="Q42">
        <v>1</v>
      </c>
      <c r="X42">
        <v>1.32</v>
      </c>
      <c r="Y42">
        <v>0</v>
      </c>
      <c r="Z42">
        <v>1551.19</v>
      </c>
      <c r="AA42">
        <v>658.94</v>
      </c>
      <c r="AB42">
        <v>0</v>
      </c>
      <c r="AC42">
        <v>0</v>
      </c>
      <c r="AD42">
        <v>1</v>
      </c>
      <c r="AE42">
        <v>0</v>
      </c>
      <c r="AF42" t="s">
        <v>3</v>
      </c>
      <c r="AG42">
        <v>1.32</v>
      </c>
      <c r="AH42">
        <v>2</v>
      </c>
      <c r="AI42">
        <v>65174867</v>
      </c>
      <c r="AJ42">
        <v>41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</row>
    <row r="43" spans="1:44" x14ac:dyDescent="0.2">
      <c r="A43">
        <f>ROW(Source!A142)</f>
        <v>142</v>
      </c>
      <c r="B43">
        <v>65174880</v>
      </c>
      <c r="C43">
        <v>65174864</v>
      </c>
      <c r="D43">
        <v>59054978</v>
      </c>
      <c r="E43">
        <v>1</v>
      </c>
      <c r="F43">
        <v>1</v>
      </c>
      <c r="G43">
        <v>1</v>
      </c>
      <c r="H43">
        <v>2</v>
      </c>
      <c r="I43" t="s">
        <v>322</v>
      </c>
      <c r="J43" t="s">
        <v>323</v>
      </c>
      <c r="K43" t="s">
        <v>324</v>
      </c>
      <c r="L43">
        <v>1368</v>
      </c>
      <c r="N43">
        <v>1011</v>
      </c>
      <c r="O43" t="s">
        <v>311</v>
      </c>
      <c r="P43" t="s">
        <v>311</v>
      </c>
      <c r="Q43">
        <v>1</v>
      </c>
      <c r="X43">
        <v>3.97</v>
      </c>
      <c r="Y43">
        <v>0</v>
      </c>
      <c r="Z43">
        <v>1.75</v>
      </c>
      <c r="AA43">
        <v>0</v>
      </c>
      <c r="AB43">
        <v>0</v>
      </c>
      <c r="AC43">
        <v>0</v>
      </c>
      <c r="AD43">
        <v>1</v>
      </c>
      <c r="AE43">
        <v>0</v>
      </c>
      <c r="AF43" t="s">
        <v>3</v>
      </c>
      <c r="AG43">
        <v>3.97</v>
      </c>
      <c r="AH43">
        <v>2</v>
      </c>
      <c r="AI43">
        <v>65174868</v>
      </c>
      <c r="AJ43">
        <v>42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</row>
    <row r="44" spans="1:44" x14ac:dyDescent="0.2">
      <c r="A44">
        <f>ROW(Source!A142)</f>
        <v>142</v>
      </c>
      <c r="B44">
        <v>65174881</v>
      </c>
      <c r="C44">
        <v>65174864</v>
      </c>
      <c r="D44">
        <v>59055022</v>
      </c>
      <c r="E44">
        <v>1</v>
      </c>
      <c r="F44">
        <v>1</v>
      </c>
      <c r="G44">
        <v>1</v>
      </c>
      <c r="H44">
        <v>2</v>
      </c>
      <c r="I44" t="s">
        <v>325</v>
      </c>
      <c r="J44" t="s">
        <v>326</v>
      </c>
      <c r="K44" t="s">
        <v>327</v>
      </c>
      <c r="L44">
        <v>1368</v>
      </c>
      <c r="N44">
        <v>1011</v>
      </c>
      <c r="O44" t="s">
        <v>311</v>
      </c>
      <c r="P44" t="s">
        <v>311</v>
      </c>
      <c r="Q44">
        <v>1</v>
      </c>
      <c r="X44">
        <v>3.97</v>
      </c>
      <c r="Y44">
        <v>0</v>
      </c>
      <c r="Z44">
        <v>13.44</v>
      </c>
      <c r="AA44">
        <v>0</v>
      </c>
      <c r="AB44">
        <v>0</v>
      </c>
      <c r="AC44">
        <v>0</v>
      </c>
      <c r="AD44">
        <v>1</v>
      </c>
      <c r="AE44">
        <v>0</v>
      </c>
      <c r="AF44" t="s">
        <v>3</v>
      </c>
      <c r="AG44">
        <v>3.97</v>
      </c>
      <c r="AH44">
        <v>2</v>
      </c>
      <c r="AI44">
        <v>65174869</v>
      </c>
      <c r="AJ44">
        <v>43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</row>
    <row r="45" spans="1:44" x14ac:dyDescent="0.2">
      <c r="A45">
        <f>ROW(Source!A142)</f>
        <v>142</v>
      </c>
      <c r="B45">
        <v>65174882</v>
      </c>
      <c r="C45">
        <v>65174864</v>
      </c>
      <c r="D45">
        <v>59055768</v>
      </c>
      <c r="E45">
        <v>1</v>
      </c>
      <c r="F45">
        <v>1</v>
      </c>
      <c r="G45">
        <v>1</v>
      </c>
      <c r="H45">
        <v>2</v>
      </c>
      <c r="I45" t="s">
        <v>328</v>
      </c>
      <c r="J45" t="s">
        <v>329</v>
      </c>
      <c r="K45" t="s">
        <v>330</v>
      </c>
      <c r="L45">
        <v>1368</v>
      </c>
      <c r="N45">
        <v>1011</v>
      </c>
      <c r="O45" t="s">
        <v>311</v>
      </c>
      <c r="P45" t="s">
        <v>311</v>
      </c>
      <c r="Q45">
        <v>1</v>
      </c>
      <c r="X45">
        <v>1.32</v>
      </c>
      <c r="Y45">
        <v>0</v>
      </c>
      <c r="Z45">
        <v>477.92</v>
      </c>
      <c r="AA45">
        <v>490.55</v>
      </c>
      <c r="AB45">
        <v>0</v>
      </c>
      <c r="AC45">
        <v>0</v>
      </c>
      <c r="AD45">
        <v>1</v>
      </c>
      <c r="AE45">
        <v>0</v>
      </c>
      <c r="AF45" t="s">
        <v>3</v>
      </c>
      <c r="AG45">
        <v>1.32</v>
      </c>
      <c r="AH45">
        <v>2</v>
      </c>
      <c r="AI45">
        <v>65174870</v>
      </c>
      <c r="AJ45">
        <v>44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</row>
    <row r="46" spans="1:44" x14ac:dyDescent="0.2">
      <c r="A46">
        <f>ROW(Source!A142)</f>
        <v>142</v>
      </c>
      <c r="B46">
        <v>65174883</v>
      </c>
      <c r="C46">
        <v>65174864</v>
      </c>
      <c r="D46">
        <v>59008937</v>
      </c>
      <c r="E46">
        <v>1</v>
      </c>
      <c r="F46">
        <v>1</v>
      </c>
      <c r="G46">
        <v>1</v>
      </c>
      <c r="H46">
        <v>3</v>
      </c>
      <c r="I46" t="s">
        <v>331</v>
      </c>
      <c r="J46" t="s">
        <v>332</v>
      </c>
      <c r="K46" t="s">
        <v>333</v>
      </c>
      <c r="L46">
        <v>1302</v>
      </c>
      <c r="N46">
        <v>1003</v>
      </c>
      <c r="O46" t="s">
        <v>334</v>
      </c>
      <c r="P46" t="s">
        <v>334</v>
      </c>
      <c r="Q46">
        <v>10</v>
      </c>
      <c r="X46">
        <v>9.6000000000000002E-2</v>
      </c>
      <c r="Y46">
        <v>37.71</v>
      </c>
      <c r="Z46">
        <v>0</v>
      </c>
      <c r="AA46">
        <v>0</v>
      </c>
      <c r="AB46">
        <v>0</v>
      </c>
      <c r="AC46">
        <v>0</v>
      </c>
      <c r="AD46">
        <v>1</v>
      </c>
      <c r="AE46">
        <v>0</v>
      </c>
      <c r="AF46" t="s">
        <v>3</v>
      </c>
      <c r="AG46">
        <v>9.6000000000000002E-2</v>
      </c>
      <c r="AH46">
        <v>2</v>
      </c>
      <c r="AI46">
        <v>65174871</v>
      </c>
      <c r="AJ46">
        <v>45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</row>
    <row r="47" spans="1:44" x14ac:dyDescent="0.2">
      <c r="A47">
        <f>ROW(Source!A142)</f>
        <v>142</v>
      </c>
      <c r="B47">
        <v>65174884</v>
      </c>
      <c r="C47">
        <v>65174864</v>
      </c>
      <c r="D47">
        <v>59016888</v>
      </c>
      <c r="E47">
        <v>1</v>
      </c>
      <c r="F47">
        <v>1</v>
      </c>
      <c r="G47">
        <v>1</v>
      </c>
      <c r="H47">
        <v>3</v>
      </c>
      <c r="I47" t="s">
        <v>335</v>
      </c>
      <c r="J47" t="s">
        <v>336</v>
      </c>
      <c r="K47" t="s">
        <v>337</v>
      </c>
      <c r="L47">
        <v>1348</v>
      </c>
      <c r="N47">
        <v>1009</v>
      </c>
      <c r="O47" t="s">
        <v>338</v>
      </c>
      <c r="P47" t="s">
        <v>338</v>
      </c>
      <c r="Q47">
        <v>1000</v>
      </c>
      <c r="X47">
        <v>1E-3</v>
      </c>
      <c r="Y47">
        <v>70310.45</v>
      </c>
      <c r="Z47">
        <v>0</v>
      </c>
      <c r="AA47">
        <v>0</v>
      </c>
      <c r="AB47">
        <v>0</v>
      </c>
      <c r="AC47">
        <v>0</v>
      </c>
      <c r="AD47">
        <v>1</v>
      </c>
      <c r="AE47">
        <v>0</v>
      </c>
      <c r="AF47" t="s">
        <v>3</v>
      </c>
      <c r="AG47">
        <v>1E-3</v>
      </c>
      <c r="AH47">
        <v>2</v>
      </c>
      <c r="AI47">
        <v>65174872</v>
      </c>
      <c r="AJ47">
        <v>46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</row>
    <row r="48" spans="1:44" x14ac:dyDescent="0.2">
      <c r="A48">
        <f>ROW(Source!A142)</f>
        <v>142</v>
      </c>
      <c r="B48">
        <v>65174885</v>
      </c>
      <c r="C48">
        <v>65174864</v>
      </c>
      <c r="D48">
        <v>59017068</v>
      </c>
      <c r="E48">
        <v>1</v>
      </c>
      <c r="F48">
        <v>1</v>
      </c>
      <c r="G48">
        <v>1</v>
      </c>
      <c r="H48">
        <v>3</v>
      </c>
      <c r="I48" t="s">
        <v>339</v>
      </c>
      <c r="J48" t="s">
        <v>340</v>
      </c>
      <c r="K48" t="s">
        <v>341</v>
      </c>
      <c r="L48">
        <v>1348</v>
      </c>
      <c r="N48">
        <v>1009</v>
      </c>
      <c r="O48" t="s">
        <v>338</v>
      </c>
      <c r="P48" t="s">
        <v>338</v>
      </c>
      <c r="Q48">
        <v>1000</v>
      </c>
      <c r="X48">
        <v>0.01</v>
      </c>
      <c r="Y48">
        <v>55303.81</v>
      </c>
      <c r="Z48">
        <v>0</v>
      </c>
      <c r="AA48">
        <v>0</v>
      </c>
      <c r="AB48">
        <v>0</v>
      </c>
      <c r="AC48">
        <v>0</v>
      </c>
      <c r="AD48">
        <v>1</v>
      </c>
      <c r="AE48">
        <v>0</v>
      </c>
      <c r="AF48" t="s">
        <v>3</v>
      </c>
      <c r="AG48">
        <v>0.01</v>
      </c>
      <c r="AH48">
        <v>2</v>
      </c>
      <c r="AI48">
        <v>65174873</v>
      </c>
      <c r="AJ48">
        <v>47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</row>
    <row r="49" spans="1:44" x14ac:dyDescent="0.2">
      <c r="A49">
        <f>ROW(Source!A142)</f>
        <v>142</v>
      </c>
      <c r="B49">
        <v>65174886</v>
      </c>
      <c r="C49">
        <v>65174864</v>
      </c>
      <c r="D49">
        <v>59026221</v>
      </c>
      <c r="E49">
        <v>1</v>
      </c>
      <c r="F49">
        <v>1</v>
      </c>
      <c r="G49">
        <v>1</v>
      </c>
      <c r="H49">
        <v>3</v>
      </c>
      <c r="I49" t="s">
        <v>342</v>
      </c>
      <c r="J49" t="s">
        <v>343</v>
      </c>
      <c r="K49" t="s">
        <v>344</v>
      </c>
      <c r="L49">
        <v>1346</v>
      </c>
      <c r="N49">
        <v>1009</v>
      </c>
      <c r="O49" t="s">
        <v>117</v>
      </c>
      <c r="P49" t="s">
        <v>117</v>
      </c>
      <c r="Q49">
        <v>1</v>
      </c>
      <c r="X49">
        <v>0.25</v>
      </c>
      <c r="Y49">
        <v>79.88</v>
      </c>
      <c r="Z49">
        <v>0</v>
      </c>
      <c r="AA49">
        <v>0</v>
      </c>
      <c r="AB49">
        <v>0</v>
      </c>
      <c r="AC49">
        <v>0</v>
      </c>
      <c r="AD49">
        <v>1</v>
      </c>
      <c r="AE49">
        <v>0</v>
      </c>
      <c r="AF49" t="s">
        <v>3</v>
      </c>
      <c r="AG49">
        <v>0.25</v>
      </c>
      <c r="AH49">
        <v>2</v>
      </c>
      <c r="AI49">
        <v>65174874</v>
      </c>
      <c r="AJ49">
        <v>48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</row>
    <row r="50" spans="1:44" x14ac:dyDescent="0.2">
      <c r="A50">
        <f>ROW(Source!A142)</f>
        <v>142</v>
      </c>
      <c r="B50">
        <v>65174887</v>
      </c>
      <c r="C50">
        <v>65174864</v>
      </c>
      <c r="D50">
        <v>59026247</v>
      </c>
      <c r="E50">
        <v>1</v>
      </c>
      <c r="F50">
        <v>1</v>
      </c>
      <c r="G50">
        <v>1</v>
      </c>
      <c r="H50">
        <v>3</v>
      </c>
      <c r="I50" t="s">
        <v>345</v>
      </c>
      <c r="J50" t="s">
        <v>346</v>
      </c>
      <c r="K50" t="s">
        <v>347</v>
      </c>
      <c r="L50">
        <v>1348</v>
      </c>
      <c r="N50">
        <v>1009</v>
      </c>
      <c r="O50" t="s">
        <v>338</v>
      </c>
      <c r="P50" t="s">
        <v>338</v>
      </c>
      <c r="Q50">
        <v>1000</v>
      </c>
      <c r="X50">
        <v>6.0000000000000002E-5</v>
      </c>
      <c r="Y50">
        <v>82698.14</v>
      </c>
      <c r="Z50">
        <v>0</v>
      </c>
      <c r="AA50">
        <v>0</v>
      </c>
      <c r="AB50">
        <v>0</v>
      </c>
      <c r="AC50">
        <v>0</v>
      </c>
      <c r="AD50">
        <v>1</v>
      </c>
      <c r="AE50">
        <v>0</v>
      </c>
      <c r="AF50" t="s">
        <v>3</v>
      </c>
      <c r="AG50">
        <v>6.0000000000000002E-5</v>
      </c>
      <c r="AH50">
        <v>2</v>
      </c>
      <c r="AI50">
        <v>65174875</v>
      </c>
      <c r="AJ50">
        <v>49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</row>
    <row r="51" spans="1:44" x14ac:dyDescent="0.2">
      <c r="A51">
        <f>ROW(Source!A142)</f>
        <v>142</v>
      </c>
      <c r="B51">
        <v>65174888</v>
      </c>
      <c r="C51">
        <v>65174864</v>
      </c>
      <c r="D51">
        <v>58938947</v>
      </c>
      <c r="E51">
        <v>109</v>
      </c>
      <c r="F51">
        <v>1</v>
      </c>
      <c r="G51">
        <v>1</v>
      </c>
      <c r="H51">
        <v>3</v>
      </c>
      <c r="I51" t="s">
        <v>348</v>
      </c>
      <c r="J51" t="s">
        <v>3</v>
      </c>
      <c r="K51" t="s">
        <v>349</v>
      </c>
      <c r="L51">
        <v>3277935</v>
      </c>
      <c r="N51">
        <v>1013</v>
      </c>
      <c r="O51" t="s">
        <v>350</v>
      </c>
      <c r="P51" t="s">
        <v>350</v>
      </c>
      <c r="Q51">
        <v>1</v>
      </c>
      <c r="X51">
        <v>2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 t="s">
        <v>3</v>
      </c>
      <c r="AG51">
        <v>2</v>
      </c>
      <c r="AH51">
        <v>2</v>
      </c>
      <c r="AI51">
        <v>65174876</v>
      </c>
      <c r="AJ51">
        <v>50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</row>
    <row r="52" spans="1:44" x14ac:dyDescent="0.2">
      <c r="A52">
        <f>ROW(Source!A143)</f>
        <v>143</v>
      </c>
      <c r="B52">
        <v>65174899</v>
      </c>
      <c r="C52">
        <v>65174889</v>
      </c>
      <c r="D52">
        <v>37064878</v>
      </c>
      <c r="E52">
        <v>112</v>
      </c>
      <c r="F52">
        <v>1</v>
      </c>
      <c r="G52">
        <v>1</v>
      </c>
      <c r="H52">
        <v>1</v>
      </c>
      <c r="I52" t="s">
        <v>316</v>
      </c>
      <c r="J52" t="s">
        <v>3</v>
      </c>
      <c r="K52" t="s">
        <v>351</v>
      </c>
      <c r="L52">
        <v>1191</v>
      </c>
      <c r="N52">
        <v>1013</v>
      </c>
      <c r="O52" t="s">
        <v>296</v>
      </c>
      <c r="P52" t="s">
        <v>296</v>
      </c>
      <c r="Q52">
        <v>1</v>
      </c>
      <c r="X52">
        <v>11.2</v>
      </c>
      <c r="Y52">
        <v>0</v>
      </c>
      <c r="Z52">
        <v>0</v>
      </c>
      <c r="AA52">
        <v>0</v>
      </c>
      <c r="AB52">
        <v>479.56</v>
      </c>
      <c r="AC52">
        <v>0</v>
      </c>
      <c r="AD52">
        <v>1</v>
      </c>
      <c r="AE52">
        <v>1</v>
      </c>
      <c r="AF52" t="s">
        <v>3</v>
      </c>
      <c r="AG52">
        <v>11.2</v>
      </c>
      <c r="AH52">
        <v>2</v>
      </c>
      <c r="AI52">
        <v>65174890</v>
      </c>
      <c r="AJ52">
        <v>51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</row>
    <row r="53" spans="1:44" x14ac:dyDescent="0.2">
      <c r="A53">
        <f>ROW(Source!A143)</f>
        <v>143</v>
      </c>
      <c r="B53">
        <v>65174900</v>
      </c>
      <c r="C53">
        <v>65174889</v>
      </c>
      <c r="D53">
        <v>37064876</v>
      </c>
      <c r="E53">
        <v>112</v>
      </c>
      <c r="F53">
        <v>1</v>
      </c>
      <c r="G53">
        <v>1</v>
      </c>
      <c r="H53">
        <v>1</v>
      </c>
      <c r="I53" t="s">
        <v>306</v>
      </c>
      <c r="J53" t="s">
        <v>3</v>
      </c>
      <c r="K53" t="s">
        <v>307</v>
      </c>
      <c r="L53">
        <v>1191</v>
      </c>
      <c r="N53">
        <v>1013</v>
      </c>
      <c r="O53" t="s">
        <v>296</v>
      </c>
      <c r="P53" t="s">
        <v>296</v>
      </c>
      <c r="Q53">
        <v>1</v>
      </c>
      <c r="X53">
        <v>0.02</v>
      </c>
      <c r="Y53">
        <v>0</v>
      </c>
      <c r="Z53">
        <v>0</v>
      </c>
      <c r="AA53">
        <v>0</v>
      </c>
      <c r="AB53">
        <v>0</v>
      </c>
      <c r="AC53">
        <v>0</v>
      </c>
      <c r="AD53">
        <v>1</v>
      </c>
      <c r="AE53">
        <v>2</v>
      </c>
      <c r="AF53" t="s">
        <v>3</v>
      </c>
      <c r="AG53">
        <v>0.02</v>
      </c>
      <c r="AH53">
        <v>2</v>
      </c>
      <c r="AI53">
        <v>65174891</v>
      </c>
      <c r="AJ53">
        <v>52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</row>
    <row r="54" spans="1:44" x14ac:dyDescent="0.2">
      <c r="A54">
        <f>ROW(Source!A143)</f>
        <v>143</v>
      </c>
      <c r="B54">
        <v>65174901</v>
      </c>
      <c r="C54">
        <v>65174889</v>
      </c>
      <c r="D54">
        <v>64001515</v>
      </c>
      <c r="E54">
        <v>1</v>
      </c>
      <c r="F54">
        <v>1</v>
      </c>
      <c r="G54">
        <v>1</v>
      </c>
      <c r="H54">
        <v>2</v>
      </c>
      <c r="I54" t="s">
        <v>318</v>
      </c>
      <c r="J54" t="s">
        <v>319</v>
      </c>
      <c r="K54" t="s">
        <v>320</v>
      </c>
      <c r="L54">
        <v>1368</v>
      </c>
      <c r="N54">
        <v>1011</v>
      </c>
      <c r="O54" t="s">
        <v>311</v>
      </c>
      <c r="P54" t="s">
        <v>311</v>
      </c>
      <c r="Q54">
        <v>1</v>
      </c>
      <c r="X54">
        <v>0.01</v>
      </c>
      <c r="Y54">
        <v>0</v>
      </c>
      <c r="Z54">
        <v>1551.19</v>
      </c>
      <c r="AA54">
        <v>658.94</v>
      </c>
      <c r="AB54">
        <v>0</v>
      </c>
      <c r="AC54">
        <v>0</v>
      </c>
      <c r="AD54">
        <v>1</v>
      </c>
      <c r="AE54">
        <v>0</v>
      </c>
      <c r="AF54" t="s">
        <v>3</v>
      </c>
      <c r="AG54">
        <v>0.01</v>
      </c>
      <c r="AH54">
        <v>2</v>
      </c>
      <c r="AI54">
        <v>65174892</v>
      </c>
      <c r="AJ54">
        <v>53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</row>
    <row r="55" spans="1:44" x14ac:dyDescent="0.2">
      <c r="A55">
        <f>ROW(Source!A143)</f>
        <v>143</v>
      </c>
      <c r="B55">
        <v>65174902</v>
      </c>
      <c r="C55">
        <v>65174889</v>
      </c>
      <c r="D55">
        <v>64002400</v>
      </c>
      <c r="E55">
        <v>1</v>
      </c>
      <c r="F55">
        <v>1</v>
      </c>
      <c r="G55">
        <v>1</v>
      </c>
      <c r="H55">
        <v>2</v>
      </c>
      <c r="I55" t="s">
        <v>328</v>
      </c>
      <c r="J55" t="s">
        <v>329</v>
      </c>
      <c r="K55" t="s">
        <v>330</v>
      </c>
      <c r="L55">
        <v>1368</v>
      </c>
      <c r="N55">
        <v>1011</v>
      </c>
      <c r="O55" t="s">
        <v>311</v>
      </c>
      <c r="P55" t="s">
        <v>311</v>
      </c>
      <c r="Q55">
        <v>1</v>
      </c>
      <c r="X55">
        <v>0.01</v>
      </c>
      <c r="Y55">
        <v>0</v>
      </c>
      <c r="Z55">
        <v>477.92</v>
      </c>
      <c r="AA55">
        <v>490.55</v>
      </c>
      <c r="AB55">
        <v>0</v>
      </c>
      <c r="AC55">
        <v>0</v>
      </c>
      <c r="AD55">
        <v>1</v>
      </c>
      <c r="AE55">
        <v>0</v>
      </c>
      <c r="AF55" t="s">
        <v>3</v>
      </c>
      <c r="AG55">
        <v>0.01</v>
      </c>
      <c r="AH55">
        <v>2</v>
      </c>
      <c r="AI55">
        <v>65174893</v>
      </c>
      <c r="AJ55">
        <v>54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</row>
    <row r="56" spans="1:44" x14ac:dyDescent="0.2">
      <c r="A56">
        <f>ROW(Source!A143)</f>
        <v>143</v>
      </c>
      <c r="B56">
        <v>65174903</v>
      </c>
      <c r="C56">
        <v>65174889</v>
      </c>
      <c r="D56">
        <v>63953063</v>
      </c>
      <c r="E56">
        <v>1</v>
      </c>
      <c r="F56">
        <v>1</v>
      </c>
      <c r="G56">
        <v>1</v>
      </c>
      <c r="H56">
        <v>3</v>
      </c>
      <c r="I56" t="s">
        <v>352</v>
      </c>
      <c r="J56" t="s">
        <v>353</v>
      </c>
      <c r="K56" t="s">
        <v>354</v>
      </c>
      <c r="L56">
        <v>1348</v>
      </c>
      <c r="N56">
        <v>1009</v>
      </c>
      <c r="O56" t="s">
        <v>338</v>
      </c>
      <c r="P56" t="s">
        <v>338</v>
      </c>
      <c r="Q56">
        <v>1000</v>
      </c>
      <c r="X56">
        <v>8.0000000000000004E-4</v>
      </c>
      <c r="Y56">
        <v>116448.72</v>
      </c>
      <c r="Z56">
        <v>0</v>
      </c>
      <c r="AA56">
        <v>0</v>
      </c>
      <c r="AB56">
        <v>0</v>
      </c>
      <c r="AC56">
        <v>0</v>
      </c>
      <c r="AD56">
        <v>1</v>
      </c>
      <c r="AE56">
        <v>0</v>
      </c>
      <c r="AF56" t="s">
        <v>3</v>
      </c>
      <c r="AG56">
        <v>8.0000000000000004E-4</v>
      </c>
      <c r="AH56">
        <v>2</v>
      </c>
      <c r="AI56">
        <v>65174894</v>
      </c>
      <c r="AJ56">
        <v>55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</row>
    <row r="57" spans="1:44" x14ac:dyDescent="0.2">
      <c r="A57">
        <f>ROW(Source!A143)</f>
        <v>143</v>
      </c>
      <c r="B57">
        <v>65174904</v>
      </c>
      <c r="C57">
        <v>65174889</v>
      </c>
      <c r="D57">
        <v>63953080</v>
      </c>
      <c r="E57">
        <v>1</v>
      </c>
      <c r="F57">
        <v>1</v>
      </c>
      <c r="G57">
        <v>1</v>
      </c>
      <c r="H57">
        <v>3</v>
      </c>
      <c r="I57" t="s">
        <v>355</v>
      </c>
      <c r="J57" t="s">
        <v>356</v>
      </c>
      <c r="K57" t="s">
        <v>357</v>
      </c>
      <c r="L57">
        <v>1348</v>
      </c>
      <c r="N57">
        <v>1009</v>
      </c>
      <c r="O57" t="s">
        <v>338</v>
      </c>
      <c r="P57" t="s">
        <v>338</v>
      </c>
      <c r="Q57">
        <v>1000</v>
      </c>
      <c r="X57">
        <v>2.0000000000000002E-5</v>
      </c>
      <c r="Y57">
        <v>81827.199999999997</v>
      </c>
      <c r="Z57">
        <v>0</v>
      </c>
      <c r="AA57">
        <v>0</v>
      </c>
      <c r="AB57">
        <v>0</v>
      </c>
      <c r="AC57">
        <v>0</v>
      </c>
      <c r="AD57">
        <v>1</v>
      </c>
      <c r="AE57">
        <v>0</v>
      </c>
      <c r="AF57" t="s">
        <v>3</v>
      </c>
      <c r="AG57">
        <v>2.0000000000000002E-5</v>
      </c>
      <c r="AH57">
        <v>2</v>
      </c>
      <c r="AI57">
        <v>65174895</v>
      </c>
      <c r="AJ57">
        <v>56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</row>
    <row r="58" spans="1:44" x14ac:dyDescent="0.2">
      <c r="A58">
        <f>ROW(Source!A143)</f>
        <v>143</v>
      </c>
      <c r="B58">
        <v>65174905</v>
      </c>
      <c r="C58">
        <v>65174889</v>
      </c>
      <c r="D58">
        <v>63954970</v>
      </c>
      <c r="E58">
        <v>1</v>
      </c>
      <c r="F58">
        <v>1</v>
      </c>
      <c r="G58">
        <v>1</v>
      </c>
      <c r="H58">
        <v>3</v>
      </c>
      <c r="I58" t="s">
        <v>331</v>
      </c>
      <c r="J58" t="s">
        <v>332</v>
      </c>
      <c r="K58" t="s">
        <v>333</v>
      </c>
      <c r="L58">
        <v>1302</v>
      </c>
      <c r="N58">
        <v>1003</v>
      </c>
      <c r="O58" t="s">
        <v>334</v>
      </c>
      <c r="P58" t="s">
        <v>334</v>
      </c>
      <c r="Q58">
        <v>10</v>
      </c>
      <c r="X58">
        <v>2.4E-2</v>
      </c>
      <c r="Y58">
        <v>37.71</v>
      </c>
      <c r="Z58">
        <v>0</v>
      </c>
      <c r="AA58">
        <v>0</v>
      </c>
      <c r="AB58">
        <v>0</v>
      </c>
      <c r="AC58">
        <v>0</v>
      </c>
      <c r="AD58">
        <v>1</v>
      </c>
      <c r="AE58">
        <v>0</v>
      </c>
      <c r="AF58" t="s">
        <v>3</v>
      </c>
      <c r="AG58">
        <v>2.4E-2</v>
      </c>
      <c r="AH58">
        <v>2</v>
      </c>
      <c r="AI58">
        <v>65174896</v>
      </c>
      <c r="AJ58">
        <v>57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</row>
    <row r="59" spans="1:44" x14ac:dyDescent="0.2">
      <c r="A59">
        <f>ROW(Source!A143)</f>
        <v>143</v>
      </c>
      <c r="B59">
        <v>65174906</v>
      </c>
      <c r="C59">
        <v>65174889</v>
      </c>
      <c r="D59">
        <v>63979957</v>
      </c>
      <c r="E59">
        <v>1</v>
      </c>
      <c r="F59">
        <v>1</v>
      </c>
      <c r="G59">
        <v>1</v>
      </c>
      <c r="H59">
        <v>3</v>
      </c>
      <c r="I59" t="s">
        <v>358</v>
      </c>
      <c r="J59" t="s">
        <v>359</v>
      </c>
      <c r="K59" t="s">
        <v>360</v>
      </c>
      <c r="L59">
        <v>1425</v>
      </c>
      <c r="N59">
        <v>1013</v>
      </c>
      <c r="O59" t="s">
        <v>185</v>
      </c>
      <c r="P59" t="s">
        <v>185</v>
      </c>
      <c r="Q59">
        <v>1</v>
      </c>
      <c r="X59">
        <v>3.1E-2</v>
      </c>
      <c r="Y59">
        <v>28612.6</v>
      </c>
      <c r="Z59">
        <v>0</v>
      </c>
      <c r="AA59">
        <v>0</v>
      </c>
      <c r="AB59">
        <v>0</v>
      </c>
      <c r="AC59">
        <v>0</v>
      </c>
      <c r="AD59">
        <v>1</v>
      </c>
      <c r="AE59">
        <v>0</v>
      </c>
      <c r="AF59" t="s">
        <v>3</v>
      </c>
      <c r="AG59">
        <v>3.1E-2</v>
      </c>
      <c r="AH59">
        <v>2</v>
      </c>
      <c r="AI59">
        <v>65174897</v>
      </c>
      <c r="AJ59">
        <v>58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</row>
    <row r="60" spans="1:44" x14ac:dyDescent="0.2">
      <c r="A60">
        <f>ROW(Source!A143)</f>
        <v>143</v>
      </c>
      <c r="B60">
        <v>65174907</v>
      </c>
      <c r="C60">
        <v>65174889</v>
      </c>
      <c r="D60">
        <v>63889959</v>
      </c>
      <c r="E60">
        <v>112</v>
      </c>
      <c r="F60">
        <v>1</v>
      </c>
      <c r="G60">
        <v>1</v>
      </c>
      <c r="H60">
        <v>3</v>
      </c>
      <c r="I60" t="s">
        <v>348</v>
      </c>
      <c r="J60" t="s">
        <v>3</v>
      </c>
      <c r="K60" t="s">
        <v>349</v>
      </c>
      <c r="L60">
        <v>3277935</v>
      </c>
      <c r="N60">
        <v>1013</v>
      </c>
      <c r="O60" t="s">
        <v>350</v>
      </c>
      <c r="P60" t="s">
        <v>350</v>
      </c>
      <c r="Q60">
        <v>1</v>
      </c>
      <c r="X60">
        <v>2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 t="s">
        <v>3</v>
      </c>
      <c r="AG60">
        <v>2</v>
      </c>
      <c r="AH60">
        <v>2</v>
      </c>
      <c r="AI60">
        <v>65174898</v>
      </c>
      <c r="AJ60">
        <v>59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</row>
    <row r="61" spans="1:44" x14ac:dyDescent="0.2">
      <c r="A61">
        <f>ROW(Source!A144)</f>
        <v>144</v>
      </c>
      <c r="B61">
        <v>65174913</v>
      </c>
      <c r="C61">
        <v>65174908</v>
      </c>
      <c r="D61">
        <v>37066491</v>
      </c>
      <c r="E61">
        <v>109</v>
      </c>
      <c r="F61">
        <v>1</v>
      </c>
      <c r="G61">
        <v>1</v>
      </c>
      <c r="H61">
        <v>1</v>
      </c>
      <c r="I61" t="s">
        <v>361</v>
      </c>
      <c r="J61" t="s">
        <v>3</v>
      </c>
      <c r="K61" t="s">
        <v>362</v>
      </c>
      <c r="L61">
        <v>1191</v>
      </c>
      <c r="N61">
        <v>1013</v>
      </c>
      <c r="O61" t="s">
        <v>296</v>
      </c>
      <c r="P61" t="s">
        <v>296</v>
      </c>
      <c r="Q61">
        <v>1</v>
      </c>
      <c r="X61">
        <v>4.66</v>
      </c>
      <c r="Y61">
        <v>0</v>
      </c>
      <c r="Z61">
        <v>0</v>
      </c>
      <c r="AA61">
        <v>0</v>
      </c>
      <c r="AB61">
        <v>410.01</v>
      </c>
      <c r="AC61">
        <v>0</v>
      </c>
      <c r="AD61">
        <v>1</v>
      </c>
      <c r="AE61">
        <v>1</v>
      </c>
      <c r="AF61" t="s">
        <v>3</v>
      </c>
      <c r="AG61">
        <v>4.66</v>
      </c>
      <c r="AH61">
        <v>2</v>
      </c>
      <c r="AI61">
        <v>65174909</v>
      </c>
      <c r="AJ61">
        <v>60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</row>
    <row r="62" spans="1:44" x14ac:dyDescent="0.2">
      <c r="A62">
        <f>ROW(Source!A144)</f>
        <v>144</v>
      </c>
      <c r="B62">
        <v>65174914</v>
      </c>
      <c r="C62">
        <v>65174908</v>
      </c>
      <c r="D62">
        <v>37064876</v>
      </c>
      <c r="E62">
        <v>109</v>
      </c>
      <c r="F62">
        <v>1</v>
      </c>
      <c r="G62">
        <v>1</v>
      </c>
      <c r="H62">
        <v>1</v>
      </c>
      <c r="I62" t="s">
        <v>306</v>
      </c>
      <c r="J62" t="s">
        <v>3</v>
      </c>
      <c r="K62" t="s">
        <v>307</v>
      </c>
      <c r="L62">
        <v>1191</v>
      </c>
      <c r="N62">
        <v>1013</v>
      </c>
      <c r="O62" t="s">
        <v>296</v>
      </c>
      <c r="P62" t="s">
        <v>296</v>
      </c>
      <c r="Q62">
        <v>1</v>
      </c>
      <c r="X62">
        <v>0.67</v>
      </c>
      <c r="Y62">
        <v>0</v>
      </c>
      <c r="Z62">
        <v>0</v>
      </c>
      <c r="AA62">
        <v>0</v>
      </c>
      <c r="AB62">
        <v>0</v>
      </c>
      <c r="AC62">
        <v>0</v>
      </c>
      <c r="AD62">
        <v>1</v>
      </c>
      <c r="AE62">
        <v>2</v>
      </c>
      <c r="AF62" t="s">
        <v>3</v>
      </c>
      <c r="AG62">
        <v>0.67</v>
      </c>
      <c r="AH62">
        <v>2</v>
      </c>
      <c r="AI62">
        <v>65174910</v>
      </c>
      <c r="AJ62">
        <v>61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</row>
    <row r="63" spans="1:44" x14ac:dyDescent="0.2">
      <c r="A63">
        <f>ROW(Source!A144)</f>
        <v>144</v>
      </c>
      <c r="B63">
        <v>65174915</v>
      </c>
      <c r="C63">
        <v>65174908</v>
      </c>
      <c r="D63">
        <v>59055768</v>
      </c>
      <c r="E63">
        <v>1</v>
      </c>
      <c r="F63">
        <v>1</v>
      </c>
      <c r="G63">
        <v>1</v>
      </c>
      <c r="H63">
        <v>2</v>
      </c>
      <c r="I63" t="s">
        <v>328</v>
      </c>
      <c r="J63" t="s">
        <v>329</v>
      </c>
      <c r="K63" t="s">
        <v>330</v>
      </c>
      <c r="L63">
        <v>1368</v>
      </c>
      <c r="N63">
        <v>1011</v>
      </c>
      <c r="O63" t="s">
        <v>311</v>
      </c>
      <c r="P63" t="s">
        <v>311</v>
      </c>
      <c r="Q63">
        <v>1</v>
      </c>
      <c r="X63">
        <v>0.67</v>
      </c>
      <c r="Y63">
        <v>0</v>
      </c>
      <c r="Z63">
        <v>477.92</v>
      </c>
      <c r="AA63">
        <v>490.55</v>
      </c>
      <c r="AB63">
        <v>0</v>
      </c>
      <c r="AC63">
        <v>0</v>
      </c>
      <c r="AD63">
        <v>1</v>
      </c>
      <c r="AE63">
        <v>0</v>
      </c>
      <c r="AF63" t="s">
        <v>3</v>
      </c>
      <c r="AG63">
        <v>0.67</v>
      </c>
      <c r="AH63">
        <v>2</v>
      </c>
      <c r="AI63">
        <v>65174911</v>
      </c>
      <c r="AJ63">
        <v>62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</row>
    <row r="64" spans="1:44" x14ac:dyDescent="0.2">
      <c r="A64">
        <f>ROW(Source!A144)</f>
        <v>144</v>
      </c>
      <c r="B64">
        <v>65174916</v>
      </c>
      <c r="C64">
        <v>65174908</v>
      </c>
      <c r="D64">
        <v>58938947</v>
      </c>
      <c r="E64">
        <v>109</v>
      </c>
      <c r="F64">
        <v>1</v>
      </c>
      <c r="G64">
        <v>1</v>
      </c>
      <c r="H64">
        <v>3</v>
      </c>
      <c r="I64" t="s">
        <v>348</v>
      </c>
      <c r="J64" t="s">
        <v>3</v>
      </c>
      <c r="K64" t="s">
        <v>349</v>
      </c>
      <c r="L64">
        <v>3277935</v>
      </c>
      <c r="N64">
        <v>1013</v>
      </c>
      <c r="O64" t="s">
        <v>350</v>
      </c>
      <c r="P64" t="s">
        <v>350</v>
      </c>
      <c r="Q64">
        <v>1</v>
      </c>
      <c r="X64">
        <v>2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 t="s">
        <v>3</v>
      </c>
      <c r="AG64">
        <v>2</v>
      </c>
      <c r="AH64">
        <v>2</v>
      </c>
      <c r="AI64">
        <v>65174912</v>
      </c>
      <c r="AJ64">
        <v>63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</row>
    <row r="65" spans="1:44" x14ac:dyDescent="0.2">
      <c r="A65">
        <f>ROW(Source!A145)</f>
        <v>145</v>
      </c>
      <c r="B65">
        <v>65174922</v>
      </c>
      <c r="C65">
        <v>65174917</v>
      </c>
      <c r="D65">
        <v>37064878</v>
      </c>
      <c r="E65">
        <v>109</v>
      </c>
      <c r="F65">
        <v>1</v>
      </c>
      <c r="G65">
        <v>1</v>
      </c>
      <c r="H65">
        <v>1</v>
      </c>
      <c r="I65" t="s">
        <v>316</v>
      </c>
      <c r="J65" t="s">
        <v>3</v>
      </c>
      <c r="K65" t="s">
        <v>317</v>
      </c>
      <c r="L65">
        <v>1191</v>
      </c>
      <c r="N65">
        <v>1013</v>
      </c>
      <c r="O65" t="s">
        <v>296</v>
      </c>
      <c r="P65" t="s">
        <v>296</v>
      </c>
      <c r="Q65">
        <v>1</v>
      </c>
      <c r="X65">
        <v>0.51</v>
      </c>
      <c r="Y65">
        <v>0</v>
      </c>
      <c r="Z65">
        <v>0</v>
      </c>
      <c r="AA65">
        <v>0</v>
      </c>
      <c r="AB65">
        <v>479.56</v>
      </c>
      <c r="AC65">
        <v>0</v>
      </c>
      <c r="AD65">
        <v>1</v>
      </c>
      <c r="AE65">
        <v>1</v>
      </c>
      <c r="AF65" t="s">
        <v>3</v>
      </c>
      <c r="AG65">
        <v>0.51</v>
      </c>
      <c r="AH65">
        <v>2</v>
      </c>
      <c r="AI65">
        <v>65174918</v>
      </c>
      <c r="AJ65">
        <v>64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</row>
    <row r="66" spans="1:44" x14ac:dyDescent="0.2">
      <c r="A66">
        <f>ROW(Source!A145)</f>
        <v>145</v>
      </c>
      <c r="B66">
        <v>65174923</v>
      </c>
      <c r="C66">
        <v>65174917</v>
      </c>
      <c r="D66">
        <v>59016813</v>
      </c>
      <c r="E66">
        <v>1</v>
      </c>
      <c r="F66">
        <v>1</v>
      </c>
      <c r="G66">
        <v>1</v>
      </c>
      <c r="H66">
        <v>3</v>
      </c>
      <c r="I66" t="s">
        <v>363</v>
      </c>
      <c r="J66" t="s">
        <v>364</v>
      </c>
      <c r="K66" t="s">
        <v>365</v>
      </c>
      <c r="L66">
        <v>1348</v>
      </c>
      <c r="N66">
        <v>1009</v>
      </c>
      <c r="O66" t="s">
        <v>338</v>
      </c>
      <c r="P66" t="s">
        <v>338</v>
      </c>
      <c r="Q66">
        <v>1000</v>
      </c>
      <c r="X66">
        <v>1.06E-3</v>
      </c>
      <c r="Y66">
        <v>71131.5</v>
      </c>
      <c r="Z66">
        <v>0</v>
      </c>
      <c r="AA66">
        <v>0</v>
      </c>
      <c r="AB66">
        <v>0</v>
      </c>
      <c r="AC66">
        <v>0</v>
      </c>
      <c r="AD66">
        <v>1</v>
      </c>
      <c r="AE66">
        <v>0</v>
      </c>
      <c r="AF66" t="s">
        <v>3</v>
      </c>
      <c r="AG66">
        <v>1.06E-3</v>
      </c>
      <c r="AH66">
        <v>2</v>
      </c>
      <c r="AI66">
        <v>65174919</v>
      </c>
      <c r="AJ66">
        <v>65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</row>
    <row r="67" spans="1:44" x14ac:dyDescent="0.2">
      <c r="A67">
        <f>ROW(Source!A145)</f>
        <v>145</v>
      </c>
      <c r="B67">
        <v>65174924</v>
      </c>
      <c r="C67">
        <v>65174917</v>
      </c>
      <c r="D67">
        <v>59017068</v>
      </c>
      <c r="E67">
        <v>1</v>
      </c>
      <c r="F67">
        <v>1</v>
      </c>
      <c r="G67">
        <v>1</v>
      </c>
      <c r="H67">
        <v>3</v>
      </c>
      <c r="I67" t="s">
        <v>339</v>
      </c>
      <c r="J67" t="s">
        <v>340</v>
      </c>
      <c r="K67" t="s">
        <v>341</v>
      </c>
      <c r="L67">
        <v>1348</v>
      </c>
      <c r="N67">
        <v>1009</v>
      </c>
      <c r="O67" t="s">
        <v>338</v>
      </c>
      <c r="P67" t="s">
        <v>338</v>
      </c>
      <c r="Q67">
        <v>1000</v>
      </c>
      <c r="X67">
        <v>5.0899999999999999E-3</v>
      </c>
      <c r="Y67">
        <v>55303.81</v>
      </c>
      <c r="Z67">
        <v>0</v>
      </c>
      <c r="AA67">
        <v>0</v>
      </c>
      <c r="AB67">
        <v>0</v>
      </c>
      <c r="AC67">
        <v>0</v>
      </c>
      <c r="AD67">
        <v>1</v>
      </c>
      <c r="AE67">
        <v>0</v>
      </c>
      <c r="AF67" t="s">
        <v>3</v>
      </c>
      <c r="AG67">
        <v>5.0899999999999999E-3</v>
      </c>
      <c r="AH67">
        <v>2</v>
      </c>
      <c r="AI67">
        <v>65174920</v>
      </c>
      <c r="AJ67">
        <v>66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</row>
    <row r="68" spans="1:44" x14ac:dyDescent="0.2">
      <c r="A68">
        <f>ROW(Source!A145)</f>
        <v>145</v>
      </c>
      <c r="B68">
        <v>65174925</v>
      </c>
      <c r="C68">
        <v>65174917</v>
      </c>
      <c r="D68">
        <v>59026348</v>
      </c>
      <c r="E68">
        <v>1</v>
      </c>
      <c r="F68">
        <v>1</v>
      </c>
      <c r="G68">
        <v>1</v>
      </c>
      <c r="H68">
        <v>3</v>
      </c>
      <c r="I68" t="s">
        <v>366</v>
      </c>
      <c r="J68" t="s">
        <v>367</v>
      </c>
      <c r="K68" t="s">
        <v>368</v>
      </c>
      <c r="L68">
        <v>1348</v>
      </c>
      <c r="N68">
        <v>1009</v>
      </c>
      <c r="O68" t="s">
        <v>338</v>
      </c>
      <c r="P68" t="s">
        <v>338</v>
      </c>
      <c r="Q68">
        <v>1000</v>
      </c>
      <c r="X68">
        <v>2.0000000000000001E-4</v>
      </c>
      <c r="Y68">
        <v>360146.05</v>
      </c>
      <c r="Z68">
        <v>0</v>
      </c>
      <c r="AA68">
        <v>0</v>
      </c>
      <c r="AB68">
        <v>0</v>
      </c>
      <c r="AC68">
        <v>0</v>
      </c>
      <c r="AD68">
        <v>1</v>
      </c>
      <c r="AE68">
        <v>0</v>
      </c>
      <c r="AF68" t="s">
        <v>3</v>
      </c>
      <c r="AG68">
        <v>2.0000000000000001E-4</v>
      </c>
      <c r="AH68">
        <v>2</v>
      </c>
      <c r="AI68">
        <v>65174921</v>
      </c>
      <c r="AJ68">
        <v>67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</row>
    <row r="69" spans="1:44" x14ac:dyDescent="0.2">
      <c r="A69">
        <f>ROW(Source!A145)</f>
        <v>145</v>
      </c>
      <c r="B69">
        <v>65174926</v>
      </c>
      <c r="C69">
        <v>65174917</v>
      </c>
      <c r="D69">
        <v>58938947</v>
      </c>
      <c r="E69">
        <v>109</v>
      </c>
      <c r="F69">
        <v>1</v>
      </c>
      <c r="G69">
        <v>1</v>
      </c>
      <c r="H69">
        <v>3</v>
      </c>
      <c r="I69" t="s">
        <v>348</v>
      </c>
      <c r="J69" t="s">
        <v>3</v>
      </c>
      <c r="K69" t="s">
        <v>349</v>
      </c>
      <c r="L69">
        <v>3277935</v>
      </c>
      <c r="N69">
        <v>1013</v>
      </c>
      <c r="O69" t="s">
        <v>350</v>
      </c>
      <c r="P69" t="s">
        <v>350</v>
      </c>
      <c r="Q69">
        <v>1</v>
      </c>
      <c r="X69">
        <v>2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 t="s">
        <v>3</v>
      </c>
      <c r="AG69">
        <v>2</v>
      </c>
      <c r="AH69">
        <v>3</v>
      </c>
      <c r="AI69">
        <v>-1</v>
      </c>
      <c r="AJ69" t="s">
        <v>3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</row>
    <row r="70" spans="1:44" x14ac:dyDescent="0.2">
      <c r="A70">
        <f>ROW(Source!A221)</f>
        <v>221</v>
      </c>
      <c r="B70">
        <v>65175049</v>
      </c>
      <c r="C70">
        <v>65175046</v>
      </c>
      <c r="D70">
        <v>58933407</v>
      </c>
      <c r="E70">
        <v>109</v>
      </c>
      <c r="F70">
        <v>1</v>
      </c>
      <c r="G70">
        <v>1</v>
      </c>
      <c r="H70">
        <v>1</v>
      </c>
      <c r="I70" t="s">
        <v>369</v>
      </c>
      <c r="J70" t="s">
        <v>3</v>
      </c>
      <c r="K70" t="s">
        <v>370</v>
      </c>
      <c r="L70">
        <v>1369</v>
      </c>
      <c r="N70">
        <v>1013</v>
      </c>
      <c r="O70" t="s">
        <v>303</v>
      </c>
      <c r="P70" t="s">
        <v>303</v>
      </c>
      <c r="Q70">
        <v>1</v>
      </c>
      <c r="X70">
        <v>0.81</v>
      </c>
      <c r="Y70">
        <v>0</v>
      </c>
      <c r="Z70">
        <v>0</v>
      </c>
      <c r="AA70">
        <v>0</v>
      </c>
      <c r="AB70">
        <v>658.94</v>
      </c>
      <c r="AC70">
        <v>0</v>
      </c>
      <c r="AD70">
        <v>1</v>
      </c>
      <c r="AE70">
        <v>1</v>
      </c>
      <c r="AF70" t="s">
        <v>3</v>
      </c>
      <c r="AG70">
        <v>0.81</v>
      </c>
      <c r="AH70">
        <v>2</v>
      </c>
      <c r="AI70">
        <v>65175047</v>
      </c>
      <c r="AJ70">
        <v>68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</row>
    <row r="71" spans="1:44" x14ac:dyDescent="0.2">
      <c r="A71">
        <f>ROW(Source!A221)</f>
        <v>221</v>
      </c>
      <c r="B71">
        <v>65175050</v>
      </c>
      <c r="C71">
        <v>65175046</v>
      </c>
      <c r="D71">
        <v>58933427</v>
      </c>
      <c r="E71">
        <v>109</v>
      </c>
      <c r="F71">
        <v>1</v>
      </c>
      <c r="G71">
        <v>1</v>
      </c>
      <c r="H71">
        <v>1</v>
      </c>
      <c r="I71" t="s">
        <v>371</v>
      </c>
      <c r="J71" t="s">
        <v>3</v>
      </c>
      <c r="K71" t="s">
        <v>372</v>
      </c>
      <c r="L71">
        <v>1369</v>
      </c>
      <c r="N71">
        <v>1013</v>
      </c>
      <c r="O71" t="s">
        <v>303</v>
      </c>
      <c r="P71" t="s">
        <v>303</v>
      </c>
      <c r="Q71">
        <v>1</v>
      </c>
      <c r="X71">
        <v>0.81</v>
      </c>
      <c r="Y71">
        <v>0</v>
      </c>
      <c r="Z71">
        <v>0</v>
      </c>
      <c r="AA71">
        <v>0</v>
      </c>
      <c r="AB71">
        <v>644.29999999999995</v>
      </c>
      <c r="AC71">
        <v>0</v>
      </c>
      <c r="AD71">
        <v>1</v>
      </c>
      <c r="AE71">
        <v>1</v>
      </c>
      <c r="AF71" t="s">
        <v>3</v>
      </c>
      <c r="AG71">
        <v>0.81</v>
      </c>
      <c r="AH71">
        <v>2</v>
      </c>
      <c r="AI71">
        <v>65175048</v>
      </c>
      <c r="AJ71">
        <v>69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</row>
    <row r="72" spans="1:44" x14ac:dyDescent="0.2">
      <c r="A72">
        <f>ROW(Source!A222)</f>
        <v>222</v>
      </c>
      <c r="B72">
        <v>65175054</v>
      </c>
      <c r="C72">
        <v>65175051</v>
      </c>
      <c r="D72">
        <v>58933407</v>
      </c>
      <c r="E72">
        <v>109</v>
      </c>
      <c r="F72">
        <v>1</v>
      </c>
      <c r="G72">
        <v>1</v>
      </c>
      <c r="H72">
        <v>1</v>
      </c>
      <c r="I72" t="s">
        <v>369</v>
      </c>
      <c r="J72" t="s">
        <v>3</v>
      </c>
      <c r="K72" t="s">
        <v>370</v>
      </c>
      <c r="L72">
        <v>1369</v>
      </c>
      <c r="N72">
        <v>1013</v>
      </c>
      <c r="O72" t="s">
        <v>303</v>
      </c>
      <c r="P72" t="s">
        <v>303</v>
      </c>
      <c r="Q72">
        <v>1</v>
      </c>
      <c r="X72">
        <v>0.16</v>
      </c>
      <c r="Y72">
        <v>0</v>
      </c>
      <c r="Z72">
        <v>0</v>
      </c>
      <c r="AA72">
        <v>0</v>
      </c>
      <c r="AB72">
        <v>658.94</v>
      </c>
      <c r="AC72">
        <v>0</v>
      </c>
      <c r="AD72">
        <v>1</v>
      </c>
      <c r="AE72">
        <v>1</v>
      </c>
      <c r="AF72" t="s">
        <v>3</v>
      </c>
      <c r="AG72">
        <v>0.16</v>
      </c>
      <c r="AH72">
        <v>2</v>
      </c>
      <c r="AI72">
        <v>65175052</v>
      </c>
      <c r="AJ72">
        <v>70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</row>
    <row r="73" spans="1:44" x14ac:dyDescent="0.2">
      <c r="A73">
        <f>ROW(Source!A222)</f>
        <v>222</v>
      </c>
      <c r="B73">
        <v>65175055</v>
      </c>
      <c r="C73">
        <v>65175051</v>
      </c>
      <c r="D73">
        <v>58933427</v>
      </c>
      <c r="E73">
        <v>109</v>
      </c>
      <c r="F73">
        <v>1</v>
      </c>
      <c r="G73">
        <v>1</v>
      </c>
      <c r="H73">
        <v>1</v>
      </c>
      <c r="I73" t="s">
        <v>371</v>
      </c>
      <c r="J73" t="s">
        <v>3</v>
      </c>
      <c r="K73" t="s">
        <v>372</v>
      </c>
      <c r="L73">
        <v>1369</v>
      </c>
      <c r="N73">
        <v>1013</v>
      </c>
      <c r="O73" t="s">
        <v>303</v>
      </c>
      <c r="P73" t="s">
        <v>303</v>
      </c>
      <c r="Q73">
        <v>1</v>
      </c>
      <c r="X73">
        <v>0.16</v>
      </c>
      <c r="Y73">
        <v>0</v>
      </c>
      <c r="Z73">
        <v>0</v>
      </c>
      <c r="AA73">
        <v>0</v>
      </c>
      <c r="AB73">
        <v>644.29999999999995</v>
      </c>
      <c r="AC73">
        <v>0</v>
      </c>
      <c r="AD73">
        <v>1</v>
      </c>
      <c r="AE73">
        <v>1</v>
      </c>
      <c r="AF73" t="s">
        <v>3</v>
      </c>
      <c r="AG73">
        <v>0.16</v>
      </c>
      <c r="AH73">
        <v>2</v>
      </c>
      <c r="AI73">
        <v>65175053</v>
      </c>
      <c r="AJ73">
        <v>71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</row>
    <row r="74" spans="1:44" x14ac:dyDescent="0.2">
      <c r="A74">
        <f>ROW(Source!A223)</f>
        <v>223</v>
      </c>
      <c r="B74">
        <v>65175059</v>
      </c>
      <c r="C74">
        <v>65175056</v>
      </c>
      <c r="D74">
        <v>58933400</v>
      </c>
      <c r="E74">
        <v>109</v>
      </c>
      <c r="F74">
        <v>1</v>
      </c>
      <c r="G74">
        <v>1</v>
      </c>
      <c r="H74">
        <v>1</v>
      </c>
      <c r="I74" t="s">
        <v>373</v>
      </c>
      <c r="J74" t="s">
        <v>3</v>
      </c>
      <c r="K74" t="s">
        <v>374</v>
      </c>
      <c r="L74">
        <v>1369</v>
      </c>
      <c r="N74">
        <v>1013</v>
      </c>
      <c r="O74" t="s">
        <v>303</v>
      </c>
      <c r="P74" t="s">
        <v>303</v>
      </c>
      <c r="Q74">
        <v>1</v>
      </c>
      <c r="X74">
        <v>1.94</v>
      </c>
      <c r="Y74">
        <v>0</v>
      </c>
      <c r="Z74">
        <v>0</v>
      </c>
      <c r="AA74">
        <v>0</v>
      </c>
      <c r="AB74">
        <v>490.55</v>
      </c>
      <c r="AC74">
        <v>0</v>
      </c>
      <c r="AD74">
        <v>1</v>
      </c>
      <c r="AE74">
        <v>1</v>
      </c>
      <c r="AF74" t="s">
        <v>3</v>
      </c>
      <c r="AG74">
        <v>1.94</v>
      </c>
      <c r="AH74">
        <v>2</v>
      </c>
      <c r="AI74">
        <v>65175057</v>
      </c>
      <c r="AJ74">
        <v>72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</row>
    <row r="75" spans="1:44" x14ac:dyDescent="0.2">
      <c r="A75">
        <f>ROW(Source!A223)</f>
        <v>223</v>
      </c>
      <c r="B75">
        <v>65175060</v>
      </c>
      <c r="C75">
        <v>65175056</v>
      </c>
      <c r="D75">
        <v>58933427</v>
      </c>
      <c r="E75">
        <v>109</v>
      </c>
      <c r="F75">
        <v>1</v>
      </c>
      <c r="G75">
        <v>1</v>
      </c>
      <c r="H75">
        <v>1</v>
      </c>
      <c r="I75" t="s">
        <v>371</v>
      </c>
      <c r="J75" t="s">
        <v>3</v>
      </c>
      <c r="K75" t="s">
        <v>372</v>
      </c>
      <c r="L75">
        <v>1369</v>
      </c>
      <c r="N75">
        <v>1013</v>
      </c>
      <c r="O75" t="s">
        <v>303</v>
      </c>
      <c r="P75" t="s">
        <v>303</v>
      </c>
      <c r="Q75">
        <v>1</v>
      </c>
      <c r="X75">
        <v>2.92</v>
      </c>
      <c r="Y75">
        <v>0</v>
      </c>
      <c r="Z75">
        <v>0</v>
      </c>
      <c r="AA75">
        <v>0</v>
      </c>
      <c r="AB75">
        <v>644.29999999999995</v>
      </c>
      <c r="AC75">
        <v>0</v>
      </c>
      <c r="AD75">
        <v>1</v>
      </c>
      <c r="AE75">
        <v>1</v>
      </c>
      <c r="AF75" t="s">
        <v>3</v>
      </c>
      <c r="AG75">
        <v>2.92</v>
      </c>
      <c r="AH75">
        <v>2</v>
      </c>
      <c r="AI75">
        <v>65175058</v>
      </c>
      <c r="AJ75">
        <v>73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</row>
    <row r="76" spans="1:44" x14ac:dyDescent="0.2">
      <c r="A76">
        <f>ROW(Source!A224)</f>
        <v>224</v>
      </c>
      <c r="B76">
        <v>65175064</v>
      </c>
      <c r="C76">
        <v>65175061</v>
      </c>
      <c r="D76">
        <v>58933400</v>
      </c>
      <c r="E76">
        <v>109</v>
      </c>
      <c r="F76">
        <v>1</v>
      </c>
      <c r="G76">
        <v>1</v>
      </c>
      <c r="H76">
        <v>1</v>
      </c>
      <c r="I76" t="s">
        <v>373</v>
      </c>
      <c r="J76" t="s">
        <v>3</v>
      </c>
      <c r="K76" t="s">
        <v>374</v>
      </c>
      <c r="L76">
        <v>1369</v>
      </c>
      <c r="N76">
        <v>1013</v>
      </c>
      <c r="O76" t="s">
        <v>303</v>
      </c>
      <c r="P76" t="s">
        <v>303</v>
      </c>
      <c r="Q76">
        <v>1</v>
      </c>
      <c r="X76">
        <v>0.57999999999999996</v>
      </c>
      <c r="Y76">
        <v>0</v>
      </c>
      <c r="Z76">
        <v>0</v>
      </c>
      <c r="AA76">
        <v>0</v>
      </c>
      <c r="AB76">
        <v>490.55</v>
      </c>
      <c r="AC76">
        <v>0</v>
      </c>
      <c r="AD76">
        <v>1</v>
      </c>
      <c r="AE76">
        <v>1</v>
      </c>
      <c r="AF76" t="s">
        <v>3</v>
      </c>
      <c r="AG76">
        <v>0.57999999999999996</v>
      </c>
      <c r="AH76">
        <v>2</v>
      </c>
      <c r="AI76">
        <v>65175062</v>
      </c>
      <c r="AJ76">
        <v>74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</row>
    <row r="77" spans="1:44" x14ac:dyDescent="0.2">
      <c r="A77">
        <f>ROW(Source!A224)</f>
        <v>224</v>
      </c>
      <c r="B77">
        <v>65175065</v>
      </c>
      <c r="C77">
        <v>65175061</v>
      </c>
      <c r="D77">
        <v>58933427</v>
      </c>
      <c r="E77">
        <v>109</v>
      </c>
      <c r="F77">
        <v>1</v>
      </c>
      <c r="G77">
        <v>1</v>
      </c>
      <c r="H77">
        <v>1</v>
      </c>
      <c r="I77" t="s">
        <v>371</v>
      </c>
      <c r="J77" t="s">
        <v>3</v>
      </c>
      <c r="K77" t="s">
        <v>372</v>
      </c>
      <c r="L77">
        <v>1369</v>
      </c>
      <c r="N77">
        <v>1013</v>
      </c>
      <c r="O77" t="s">
        <v>303</v>
      </c>
      <c r="P77" t="s">
        <v>303</v>
      </c>
      <c r="Q77">
        <v>1</v>
      </c>
      <c r="X77">
        <v>0.87</v>
      </c>
      <c r="Y77">
        <v>0</v>
      </c>
      <c r="Z77">
        <v>0</v>
      </c>
      <c r="AA77">
        <v>0</v>
      </c>
      <c r="AB77">
        <v>644.29999999999995</v>
      </c>
      <c r="AC77">
        <v>0</v>
      </c>
      <c r="AD77">
        <v>1</v>
      </c>
      <c r="AE77">
        <v>1</v>
      </c>
      <c r="AF77" t="s">
        <v>3</v>
      </c>
      <c r="AG77">
        <v>0.87</v>
      </c>
      <c r="AH77">
        <v>2</v>
      </c>
      <c r="AI77">
        <v>65175063</v>
      </c>
      <c r="AJ77">
        <v>75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B83512-53BF-45B7-B946-9C4383BD67C6}">
  <dimension ref="A1:U4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21" x14ac:dyDescent="0.2">
      <c r="A1">
        <v>62</v>
      </c>
      <c r="B1">
        <v>1</v>
      </c>
      <c r="C1" t="s">
        <v>3</v>
      </c>
      <c r="D1" t="s">
        <v>3</v>
      </c>
      <c r="E1" t="s">
        <v>3</v>
      </c>
      <c r="F1" t="s">
        <v>3</v>
      </c>
      <c r="G1" t="s">
        <v>80</v>
      </c>
      <c r="H1" t="s">
        <v>3</v>
      </c>
      <c r="I1" t="s">
        <v>80</v>
      </c>
      <c r="J1" t="s">
        <v>3</v>
      </c>
      <c r="K1" t="s">
        <v>3</v>
      </c>
      <c r="L1" t="s">
        <v>3</v>
      </c>
      <c r="M1" t="s">
        <v>3</v>
      </c>
      <c r="N1" t="s">
        <v>3</v>
      </c>
      <c r="O1" t="s">
        <v>3</v>
      </c>
      <c r="P1" t="s">
        <v>3</v>
      </c>
      <c r="Q1" t="s">
        <v>3</v>
      </c>
      <c r="R1" t="s">
        <v>3</v>
      </c>
      <c r="S1" t="s">
        <v>378</v>
      </c>
      <c r="T1" t="s">
        <v>379</v>
      </c>
      <c r="U1" t="s">
        <v>380</v>
      </c>
    </row>
    <row r="2" spans="1:21" x14ac:dyDescent="0.2">
      <c r="A2">
        <v>63</v>
      </c>
      <c r="B2">
        <v>1</v>
      </c>
      <c r="C2" t="s">
        <v>3</v>
      </c>
      <c r="D2" t="s">
        <v>3</v>
      </c>
      <c r="E2" t="s">
        <v>93</v>
      </c>
      <c r="F2" t="s">
        <v>93</v>
      </c>
      <c r="G2" t="s">
        <v>93</v>
      </c>
      <c r="H2" t="s">
        <v>3</v>
      </c>
      <c r="I2" t="s">
        <v>93</v>
      </c>
      <c r="J2" t="s">
        <v>93</v>
      </c>
      <c r="K2" t="s">
        <v>3</v>
      </c>
      <c r="L2" t="s">
        <v>3</v>
      </c>
      <c r="M2" t="s">
        <v>3</v>
      </c>
      <c r="N2" t="s">
        <v>3</v>
      </c>
      <c r="O2" t="s">
        <v>93</v>
      </c>
      <c r="P2" t="s">
        <v>3</v>
      </c>
      <c r="Q2" t="s">
        <v>3</v>
      </c>
      <c r="R2" t="s">
        <v>3</v>
      </c>
      <c r="S2" t="s">
        <v>381</v>
      </c>
      <c r="T2" t="s">
        <v>382</v>
      </c>
      <c r="U2" t="s">
        <v>380</v>
      </c>
    </row>
    <row r="3" spans="1:21" x14ac:dyDescent="0.2">
      <c r="A3">
        <v>103</v>
      </c>
      <c r="B3">
        <v>1</v>
      </c>
      <c r="C3" t="s">
        <v>3</v>
      </c>
      <c r="D3" t="s">
        <v>126</v>
      </c>
      <c r="E3" t="s">
        <v>127</v>
      </c>
      <c r="F3" t="s">
        <v>127</v>
      </c>
      <c r="G3" t="s">
        <v>127</v>
      </c>
      <c r="H3" t="s">
        <v>3</v>
      </c>
      <c r="I3" t="s">
        <v>127</v>
      </c>
      <c r="J3" t="s">
        <v>127</v>
      </c>
      <c r="K3" t="s">
        <v>3</v>
      </c>
      <c r="L3" t="s">
        <v>3</v>
      </c>
      <c r="M3" t="s">
        <v>3</v>
      </c>
      <c r="N3" t="s">
        <v>126</v>
      </c>
      <c r="O3" t="s">
        <v>127</v>
      </c>
      <c r="P3" t="s">
        <v>3</v>
      </c>
      <c r="Q3" t="s">
        <v>3</v>
      </c>
      <c r="R3" t="s">
        <v>3</v>
      </c>
      <c r="S3" t="s">
        <v>383</v>
      </c>
      <c r="T3" t="s">
        <v>384</v>
      </c>
      <c r="U3" t="s">
        <v>385</v>
      </c>
    </row>
    <row r="4" spans="1:21" x14ac:dyDescent="0.2">
      <c r="A4">
        <v>104</v>
      </c>
      <c r="B4">
        <v>1</v>
      </c>
      <c r="C4" t="s">
        <v>3</v>
      </c>
      <c r="D4" t="s">
        <v>126</v>
      </c>
      <c r="E4" t="s">
        <v>127</v>
      </c>
      <c r="F4" t="s">
        <v>127</v>
      </c>
      <c r="G4" t="s">
        <v>127</v>
      </c>
      <c r="H4" t="s">
        <v>3</v>
      </c>
      <c r="I4" t="s">
        <v>127</v>
      </c>
      <c r="J4" t="s">
        <v>127</v>
      </c>
      <c r="K4" t="s">
        <v>3</v>
      </c>
      <c r="L4" t="s">
        <v>3</v>
      </c>
      <c r="M4" t="s">
        <v>3</v>
      </c>
      <c r="N4" t="s">
        <v>126</v>
      </c>
      <c r="O4" t="s">
        <v>127</v>
      </c>
      <c r="P4" t="s">
        <v>3</v>
      </c>
      <c r="Q4" t="s">
        <v>3</v>
      </c>
      <c r="R4" t="s">
        <v>3</v>
      </c>
      <c r="S4" t="s">
        <v>383</v>
      </c>
      <c r="T4" t="s">
        <v>384</v>
      </c>
      <c r="U4" t="s">
        <v>385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A16502-0037-45DA-8FD9-63071B003318}">
  <dimension ref="A1:CY12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03" x14ac:dyDescent="0.2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0</v>
      </c>
      <c r="L1">
        <v>34136</v>
      </c>
      <c r="M1">
        <v>10</v>
      </c>
      <c r="N1">
        <v>11</v>
      </c>
      <c r="O1">
        <v>11</v>
      </c>
      <c r="P1">
        <v>0</v>
      </c>
      <c r="Q1">
        <v>0</v>
      </c>
    </row>
    <row r="12" spans="1:103" x14ac:dyDescent="0.2">
      <c r="F12" t="str">
        <f>Source!F12</f>
        <v>Новый объект</v>
      </c>
      <c r="G12" t="str">
        <f>Source!G12</f>
        <v>КЛ-10кВ</v>
      </c>
      <c r="AB12" t="s">
        <v>3</v>
      </c>
      <c r="AC12" t="s">
        <v>3</v>
      </c>
      <c r="AD12" t="s">
        <v>3</v>
      </c>
      <c r="AE12" t="s">
        <v>3</v>
      </c>
      <c r="AH12" t="s">
        <v>3</v>
      </c>
      <c r="AI12" t="s">
        <v>3</v>
      </c>
      <c r="CY12">
        <f>Source!CY12</f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Смета по ФСНБ 421+557прРИМ</vt:lpstr>
      <vt:lpstr>Source</vt:lpstr>
      <vt:lpstr>SourceObSm</vt:lpstr>
      <vt:lpstr>SmtRes</vt:lpstr>
      <vt:lpstr>EtalonRes</vt:lpstr>
      <vt:lpstr>SrcPoprs</vt:lpstr>
      <vt:lpstr>SrcKA</vt:lpstr>
      <vt:lpstr>'Смета по ФСНБ 421+557прРИМ'!Заголовки_для_печати</vt:lpstr>
      <vt:lpstr>'Смета по ФСНБ 421+557прРИМ'!Область_печати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Мишкина Зинаида Ильинична</cp:lastModifiedBy>
  <dcterms:created xsi:type="dcterms:W3CDTF">2025-04-21T11:34:02Z</dcterms:created>
  <dcterms:modified xsi:type="dcterms:W3CDTF">2025-04-22T07:56:01Z</dcterms:modified>
</cp:coreProperties>
</file>